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015" windowHeight="8220" activeTab="1"/>
  </bookViews>
  <sheets>
    <sheet name="BLM SCALING TO RADS" sheetId="2" r:id="rId1"/>
    <sheet name="COMPARISON" sheetId="3" r:id="rId2"/>
    <sheet name="PLOTS" sheetId="4" r:id="rId3"/>
    <sheet name="BLM ALARMS" sheetId="5" r:id="rId4"/>
  </sheets>
  <definedNames>
    <definedName name="_c1">'BLM SCALING TO RADS'!$C$4</definedName>
    <definedName name="_c2">'BLM SCALING TO RADS'!$C$5</definedName>
    <definedName name="all_data">COMPARISON!$H$12:$AF$68</definedName>
    <definedName name="b">'BLM SCALING TO RADS'!$J$5</definedName>
    <definedName name="D">'BLM SCALING TO RADS'!$R$5</definedName>
    <definedName name="d1_">'BLM SCALING TO RADS'!$E$4</definedName>
    <definedName name="d1_s">COMPARISON!$B$5</definedName>
    <definedName name="d2_">'BLM SCALING TO RADS'!$E$5</definedName>
    <definedName name="d2_s">COMPARISON!$B$6</definedName>
    <definedName name="data">COMPARISON!$A$12:$C$71</definedName>
    <definedName name="exp">'BLM SCALING TO RADS'!#REF!</definedName>
    <definedName name="G1_">'BLM SCALING TO RADS'!$H$4</definedName>
    <definedName name="H1_">'BLM SCALING TO RADS'!$O$4</definedName>
    <definedName name="m">'BLM SCALING TO RADS'!$J$4</definedName>
    <definedName name="m_data">COMPARISON!$H$12:$I$68</definedName>
    <definedName name="N">'BLM SCALING TO RADS'!$R$4</definedName>
    <definedName name="step">#REF!</definedName>
  </definedNames>
  <calcPr calcId="125725"/>
</workbook>
</file>

<file path=xl/calcChain.xml><?xml version="1.0" encoding="utf-8"?>
<calcChain xmlns="http://schemas.openxmlformats.org/spreadsheetml/2006/main">
  <c r="F54" i="5"/>
  <c r="F55"/>
  <c r="F56"/>
  <c r="F57"/>
  <c r="F58"/>
  <c r="F59"/>
  <c r="F60"/>
  <c r="F61"/>
  <c r="F5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4"/>
  <c r="G68" i="3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G12"/>
  <c r="F12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C72"/>
  <c r="B72"/>
  <c r="O4" i="2"/>
  <c r="B77"/>
  <c r="G77" s="1"/>
  <c r="B78"/>
  <c r="G78" s="1"/>
  <c r="B79"/>
  <c r="G79" s="1"/>
  <c r="B80"/>
  <c r="G80" s="1"/>
  <c r="B81"/>
  <c r="G81" s="1"/>
  <c r="B82"/>
  <c r="G82" s="1"/>
  <c r="B83"/>
  <c r="G83" s="1"/>
  <c r="B84"/>
  <c r="G84" s="1"/>
  <c r="B85"/>
  <c r="G85" s="1"/>
  <c r="B86"/>
  <c r="G86" s="1"/>
  <c r="B87"/>
  <c r="G87" s="1"/>
  <c r="B88"/>
  <c r="G88" s="1"/>
  <c r="B89"/>
  <c r="G89" s="1"/>
  <c r="B90"/>
  <c r="G90" s="1"/>
  <c r="B91"/>
  <c r="G91" s="1"/>
  <c r="B92"/>
  <c r="G92" s="1"/>
  <c r="B93"/>
  <c r="G93" s="1"/>
  <c r="B94"/>
  <c r="G94" s="1"/>
  <c r="B95"/>
  <c r="G95" s="1"/>
  <c r="B96"/>
  <c r="G96" s="1"/>
  <c r="B97"/>
  <c r="G97" s="1"/>
  <c r="B98"/>
  <c r="G98" s="1"/>
  <c r="L98" s="1"/>
  <c r="M98" s="1"/>
  <c r="T98" s="1"/>
  <c r="B99"/>
  <c r="G99" s="1"/>
  <c r="B100"/>
  <c r="G100" s="1"/>
  <c r="B101"/>
  <c r="G101" s="1"/>
  <c r="B102"/>
  <c r="G102" s="1"/>
  <c r="B103"/>
  <c r="G103" s="1"/>
  <c r="B104"/>
  <c r="G104" s="1"/>
  <c r="B105"/>
  <c r="G105" s="1"/>
  <c r="B106"/>
  <c r="G106" s="1"/>
  <c r="B107"/>
  <c r="G107" s="1"/>
  <c r="B108"/>
  <c r="G108" s="1"/>
  <c r="B109"/>
  <c r="G109" s="1"/>
  <c r="B110"/>
  <c r="G110" s="1"/>
  <c r="J5"/>
  <c r="J4"/>
  <c r="B36"/>
  <c r="C36" s="1"/>
  <c r="D36" s="1"/>
  <c r="B37"/>
  <c r="C37" s="1"/>
  <c r="B38"/>
  <c r="C38" s="1"/>
  <c r="D38" s="1"/>
  <c r="B39"/>
  <c r="C39" s="1"/>
  <c r="B40"/>
  <c r="C40" s="1"/>
  <c r="D40" s="1"/>
  <c r="B41"/>
  <c r="C41" s="1"/>
  <c r="B42"/>
  <c r="C42" s="1"/>
  <c r="D42" s="1"/>
  <c r="B43"/>
  <c r="C43" s="1"/>
  <c r="B44"/>
  <c r="C44" s="1"/>
  <c r="D44" s="1"/>
  <c r="B45"/>
  <c r="C45" s="1"/>
  <c r="B46"/>
  <c r="C46" s="1"/>
  <c r="D46" s="1"/>
  <c r="B47"/>
  <c r="C47" s="1"/>
  <c r="B48"/>
  <c r="C48" s="1"/>
  <c r="D48" s="1"/>
  <c r="B49"/>
  <c r="C49" s="1"/>
  <c r="B50"/>
  <c r="C50" s="1"/>
  <c r="D50" s="1"/>
  <c r="B51"/>
  <c r="C51" s="1"/>
  <c r="B52"/>
  <c r="C52" s="1"/>
  <c r="D52" s="1"/>
  <c r="B53"/>
  <c r="C53" s="1"/>
  <c r="B54"/>
  <c r="C54" s="1"/>
  <c r="D54" s="1"/>
  <c r="B55"/>
  <c r="C55" s="1"/>
  <c r="B56"/>
  <c r="C56" s="1"/>
  <c r="D56" s="1"/>
  <c r="B57"/>
  <c r="C57" s="1"/>
  <c r="B58"/>
  <c r="C58" s="1"/>
  <c r="D58" s="1"/>
  <c r="B59"/>
  <c r="C59" s="1"/>
  <c r="B60"/>
  <c r="C60" s="1"/>
  <c r="D60" s="1"/>
  <c r="B61"/>
  <c r="C61" s="1"/>
  <c r="B62"/>
  <c r="C62" s="1"/>
  <c r="D62" s="1"/>
  <c r="B63"/>
  <c r="C63" s="1"/>
  <c r="B64"/>
  <c r="C64" s="1"/>
  <c r="D64" s="1"/>
  <c r="B65"/>
  <c r="C65" s="1"/>
  <c r="B66"/>
  <c r="C66" s="1"/>
  <c r="D66" s="1"/>
  <c r="B67"/>
  <c r="C67" s="1"/>
  <c r="B68"/>
  <c r="C68" s="1"/>
  <c r="D68" s="1"/>
  <c r="B69"/>
  <c r="C69" s="1"/>
  <c r="B70"/>
  <c r="C70" s="1"/>
  <c r="D70" s="1"/>
  <c r="B71"/>
  <c r="C71" s="1"/>
  <c r="B72"/>
  <c r="C72" s="1"/>
  <c r="D72" s="1"/>
  <c r="B73"/>
  <c r="C73" s="1"/>
  <c r="B74"/>
  <c r="C74" s="1"/>
  <c r="D74" s="1"/>
  <c r="B75"/>
  <c r="C75" s="1"/>
  <c r="B76"/>
  <c r="C76" s="1"/>
  <c r="D76" s="1"/>
  <c r="B21"/>
  <c r="C21" s="1"/>
  <c r="B22"/>
  <c r="C22" s="1"/>
  <c r="D22" s="1"/>
  <c r="B23"/>
  <c r="C23" s="1"/>
  <c r="B24"/>
  <c r="C24" s="1"/>
  <c r="D24" s="1"/>
  <c r="B25"/>
  <c r="C25" s="1"/>
  <c r="B26"/>
  <c r="C26" s="1"/>
  <c r="D26" s="1"/>
  <c r="B27"/>
  <c r="C27" s="1"/>
  <c r="B28"/>
  <c r="C28" s="1"/>
  <c r="D28" s="1"/>
  <c r="B29"/>
  <c r="C29" s="1"/>
  <c r="B30"/>
  <c r="C30" s="1"/>
  <c r="D30" s="1"/>
  <c r="B31"/>
  <c r="C31" s="1"/>
  <c r="B32"/>
  <c r="C32" s="1"/>
  <c r="D32" s="1"/>
  <c r="B33"/>
  <c r="C33" s="1"/>
  <c r="B34"/>
  <c r="C34" s="1"/>
  <c r="D34" s="1"/>
  <c r="B35"/>
  <c r="C35" s="1"/>
  <c r="B11"/>
  <c r="C11" s="1"/>
  <c r="E11" s="1"/>
  <c r="B12"/>
  <c r="C12" s="1"/>
  <c r="E12" s="1"/>
  <c r="B13"/>
  <c r="C13" s="1"/>
  <c r="E13" s="1"/>
  <c r="B14"/>
  <c r="C14" s="1"/>
  <c r="E14" s="1"/>
  <c r="B15"/>
  <c r="C15" s="1"/>
  <c r="E15" s="1"/>
  <c r="B16"/>
  <c r="C16" s="1"/>
  <c r="E16" s="1"/>
  <c r="B17"/>
  <c r="C17" s="1"/>
  <c r="E17" s="1"/>
  <c r="B18"/>
  <c r="C18" s="1"/>
  <c r="E18" s="1"/>
  <c r="B19"/>
  <c r="C19" s="1"/>
  <c r="E19" s="1"/>
  <c r="B20"/>
  <c r="C20" s="1"/>
  <c r="E20" s="1"/>
  <c r="B10"/>
  <c r="C10" s="1"/>
  <c r="E10" s="1"/>
  <c r="AE14" i="3" l="1"/>
  <c r="AE16"/>
  <c r="AE18"/>
  <c r="AE20"/>
  <c r="AE22"/>
  <c r="AE24"/>
  <c r="AE26"/>
  <c r="AE28"/>
  <c r="AE30"/>
  <c r="AE32"/>
  <c r="AE34"/>
  <c r="AE36"/>
  <c r="AE38"/>
  <c r="AE40"/>
  <c r="AE42"/>
  <c r="AE12"/>
  <c r="AE13"/>
  <c r="AE15"/>
  <c r="AE17"/>
  <c r="AE19"/>
  <c r="AE21"/>
  <c r="AE23"/>
  <c r="AE25"/>
  <c r="AE27"/>
  <c r="AE29"/>
  <c r="AE31"/>
  <c r="AE33"/>
  <c r="AE35"/>
  <c r="AE37"/>
  <c r="AE39"/>
  <c r="AE41"/>
  <c r="T43"/>
  <c r="AE44"/>
  <c r="AC44"/>
  <c r="AA44"/>
  <c r="Y44"/>
  <c r="W44"/>
  <c r="U44"/>
  <c r="S44"/>
  <c r="Q44"/>
  <c r="O44"/>
  <c r="M44"/>
  <c r="AF44"/>
  <c r="AD44"/>
  <c r="AB44"/>
  <c r="Z44"/>
  <c r="X44"/>
  <c r="V44"/>
  <c r="T44"/>
  <c r="R44"/>
  <c r="P44"/>
  <c r="N44"/>
  <c r="AE46"/>
  <c r="AC46"/>
  <c r="AA46"/>
  <c r="Y46"/>
  <c r="W46"/>
  <c r="U46"/>
  <c r="S46"/>
  <c r="Q46"/>
  <c r="O46"/>
  <c r="M46"/>
  <c r="AF46"/>
  <c r="AD46"/>
  <c r="AB46"/>
  <c r="Z46"/>
  <c r="X46"/>
  <c r="V46"/>
  <c r="T46"/>
  <c r="R46"/>
  <c r="P46"/>
  <c r="N46"/>
  <c r="AE48"/>
  <c r="AC48"/>
  <c r="AA48"/>
  <c r="Y48"/>
  <c r="W48"/>
  <c r="U48"/>
  <c r="S48"/>
  <c r="Q48"/>
  <c r="O48"/>
  <c r="M48"/>
  <c r="AF48"/>
  <c r="AD48"/>
  <c r="AB48"/>
  <c r="Z48"/>
  <c r="X48"/>
  <c r="V48"/>
  <c r="T48"/>
  <c r="R48"/>
  <c r="P48"/>
  <c r="N48"/>
  <c r="AE50"/>
  <c r="AC50"/>
  <c r="AA50"/>
  <c r="Y50"/>
  <c r="W50"/>
  <c r="U50"/>
  <c r="S50"/>
  <c r="Q50"/>
  <c r="O50"/>
  <c r="M50"/>
  <c r="AF50"/>
  <c r="AD50"/>
  <c r="AB50"/>
  <c r="Z50"/>
  <c r="X50"/>
  <c r="V50"/>
  <c r="T50"/>
  <c r="R50"/>
  <c r="P50"/>
  <c r="N50"/>
  <c r="AE52"/>
  <c r="AC52"/>
  <c r="AA52"/>
  <c r="Y52"/>
  <c r="W52"/>
  <c r="U52"/>
  <c r="S52"/>
  <c r="Q52"/>
  <c r="O52"/>
  <c r="M52"/>
  <c r="AF52"/>
  <c r="AD52"/>
  <c r="AB52"/>
  <c r="Z52"/>
  <c r="X52"/>
  <c r="V52"/>
  <c r="T52"/>
  <c r="R52"/>
  <c r="P52"/>
  <c r="N52"/>
  <c r="AE54"/>
  <c r="AC54"/>
  <c r="AA54"/>
  <c r="Y54"/>
  <c r="W54"/>
  <c r="U54"/>
  <c r="S54"/>
  <c r="Q54"/>
  <c r="O54"/>
  <c r="M54"/>
  <c r="AF54"/>
  <c r="AD54"/>
  <c r="AB54"/>
  <c r="Z54"/>
  <c r="X54"/>
  <c r="V54"/>
  <c r="T54"/>
  <c r="R54"/>
  <c r="P54"/>
  <c r="N54"/>
  <c r="AE56"/>
  <c r="AC56"/>
  <c r="AA56"/>
  <c r="Y56"/>
  <c r="W56"/>
  <c r="U56"/>
  <c r="S56"/>
  <c r="Q56"/>
  <c r="O56"/>
  <c r="M56"/>
  <c r="AF56"/>
  <c r="AD56"/>
  <c r="AB56"/>
  <c r="Z56"/>
  <c r="X56"/>
  <c r="V56"/>
  <c r="T56"/>
  <c r="R56"/>
  <c r="P56"/>
  <c r="N56"/>
  <c r="AE58"/>
  <c r="AC58"/>
  <c r="AA58"/>
  <c r="Y58"/>
  <c r="W58"/>
  <c r="U58"/>
  <c r="S58"/>
  <c r="Q58"/>
  <c r="O58"/>
  <c r="M58"/>
  <c r="AF58"/>
  <c r="AD58"/>
  <c r="AB58"/>
  <c r="Z58"/>
  <c r="X58"/>
  <c r="V58"/>
  <c r="T58"/>
  <c r="R58"/>
  <c r="P58"/>
  <c r="N58"/>
  <c r="AE60"/>
  <c r="AC60"/>
  <c r="AA60"/>
  <c r="Y60"/>
  <c r="W60"/>
  <c r="U60"/>
  <c r="S60"/>
  <c r="Q60"/>
  <c r="O60"/>
  <c r="M60"/>
  <c r="AF60"/>
  <c r="AD60"/>
  <c r="AB60"/>
  <c r="Z60"/>
  <c r="X60"/>
  <c r="V60"/>
  <c r="T60"/>
  <c r="R60"/>
  <c r="P60"/>
  <c r="N60"/>
  <c r="AE62"/>
  <c r="AC62"/>
  <c r="AA62"/>
  <c r="Y62"/>
  <c r="W62"/>
  <c r="U62"/>
  <c r="S62"/>
  <c r="Q62"/>
  <c r="O62"/>
  <c r="M62"/>
  <c r="AF62"/>
  <c r="AD62"/>
  <c r="AB62"/>
  <c r="Z62"/>
  <c r="X62"/>
  <c r="V62"/>
  <c r="T62"/>
  <c r="R62"/>
  <c r="P62"/>
  <c r="N62"/>
  <c r="AE64"/>
  <c r="AC64"/>
  <c r="AA64"/>
  <c r="Y64"/>
  <c r="W64"/>
  <c r="U64"/>
  <c r="S64"/>
  <c r="Q64"/>
  <c r="O64"/>
  <c r="M64"/>
  <c r="AF64"/>
  <c r="AD64"/>
  <c r="AB64"/>
  <c r="Z64"/>
  <c r="X64"/>
  <c r="V64"/>
  <c r="T64"/>
  <c r="R64"/>
  <c r="P64"/>
  <c r="N64"/>
  <c r="AE66"/>
  <c r="AC66"/>
  <c r="AA66"/>
  <c r="Y66"/>
  <c r="W66"/>
  <c r="U66"/>
  <c r="S66"/>
  <c r="Q66"/>
  <c r="O66"/>
  <c r="M66"/>
  <c r="AF66"/>
  <c r="AD66"/>
  <c r="AB66"/>
  <c r="Z66"/>
  <c r="X66"/>
  <c r="V66"/>
  <c r="T66"/>
  <c r="R66"/>
  <c r="P66"/>
  <c r="N66"/>
  <c r="AE68"/>
  <c r="AC68"/>
  <c r="AA68"/>
  <c r="Y68"/>
  <c r="W68"/>
  <c r="U68"/>
  <c r="S68"/>
  <c r="Q68"/>
  <c r="O68"/>
  <c r="M68"/>
  <c r="AF68"/>
  <c r="AD68"/>
  <c r="AB68"/>
  <c r="Z68"/>
  <c r="X68"/>
  <c r="V68"/>
  <c r="T68"/>
  <c r="R68"/>
  <c r="P68"/>
  <c r="N68"/>
  <c r="N12"/>
  <c r="P12"/>
  <c r="R12"/>
  <c r="T12"/>
  <c r="V12"/>
  <c r="X12"/>
  <c r="Z12"/>
  <c r="AB12"/>
  <c r="AD12"/>
  <c r="AF12"/>
  <c r="N13"/>
  <c r="P13"/>
  <c r="R13"/>
  <c r="T13"/>
  <c r="V13"/>
  <c r="X13"/>
  <c r="Z13"/>
  <c r="AB13"/>
  <c r="AD13"/>
  <c r="AF13"/>
  <c r="N14"/>
  <c r="P14"/>
  <c r="R14"/>
  <c r="T14"/>
  <c r="V14"/>
  <c r="X14"/>
  <c r="Z14"/>
  <c r="AB14"/>
  <c r="AD14"/>
  <c r="AF14"/>
  <c r="N15"/>
  <c r="P15"/>
  <c r="R15"/>
  <c r="T15"/>
  <c r="V15"/>
  <c r="X15"/>
  <c r="Z15"/>
  <c r="AB15"/>
  <c r="AD15"/>
  <c r="AF15"/>
  <c r="N16"/>
  <c r="P16"/>
  <c r="R16"/>
  <c r="T16"/>
  <c r="V16"/>
  <c r="X16"/>
  <c r="Z16"/>
  <c r="AB16"/>
  <c r="AD16"/>
  <c r="AF16"/>
  <c r="N17"/>
  <c r="P17"/>
  <c r="R17"/>
  <c r="T17"/>
  <c r="V17"/>
  <c r="X17"/>
  <c r="Z17"/>
  <c r="AB17"/>
  <c r="AD17"/>
  <c r="AF17"/>
  <c r="N18"/>
  <c r="P18"/>
  <c r="R18"/>
  <c r="T18"/>
  <c r="V18"/>
  <c r="X18"/>
  <c r="Z18"/>
  <c r="AB18"/>
  <c r="AD18"/>
  <c r="AF18"/>
  <c r="N19"/>
  <c r="P19"/>
  <c r="R19"/>
  <c r="T19"/>
  <c r="V19"/>
  <c r="X19"/>
  <c r="Z19"/>
  <c r="AB19"/>
  <c r="AD19"/>
  <c r="AF19"/>
  <c r="N20"/>
  <c r="P20"/>
  <c r="R20"/>
  <c r="T20"/>
  <c r="V20"/>
  <c r="X20"/>
  <c r="Z20"/>
  <c r="AB20"/>
  <c r="AD20"/>
  <c r="AF20"/>
  <c r="N21"/>
  <c r="P21"/>
  <c r="R21"/>
  <c r="T21"/>
  <c r="V21"/>
  <c r="X21"/>
  <c r="Z21"/>
  <c r="AB21"/>
  <c r="AD21"/>
  <c r="AF21"/>
  <c r="N22"/>
  <c r="P22"/>
  <c r="R22"/>
  <c r="T22"/>
  <c r="V22"/>
  <c r="X22"/>
  <c r="Z22"/>
  <c r="AB22"/>
  <c r="AD22"/>
  <c r="AF22"/>
  <c r="N23"/>
  <c r="P23"/>
  <c r="R23"/>
  <c r="T23"/>
  <c r="V23"/>
  <c r="X23"/>
  <c r="Z23"/>
  <c r="AB23"/>
  <c r="AD23"/>
  <c r="AF23"/>
  <c r="N24"/>
  <c r="P24"/>
  <c r="R24"/>
  <c r="T24"/>
  <c r="V24"/>
  <c r="X24"/>
  <c r="Z24"/>
  <c r="AB24"/>
  <c r="AD24"/>
  <c r="AF24"/>
  <c r="N25"/>
  <c r="P25"/>
  <c r="R25"/>
  <c r="T25"/>
  <c r="V25"/>
  <c r="X25"/>
  <c r="Z25"/>
  <c r="AB25"/>
  <c r="AD25"/>
  <c r="AF25"/>
  <c r="N26"/>
  <c r="P26"/>
  <c r="R26"/>
  <c r="T26"/>
  <c r="V26"/>
  <c r="X26"/>
  <c r="Z26"/>
  <c r="AB26"/>
  <c r="AD26"/>
  <c r="AF26"/>
  <c r="N27"/>
  <c r="P27"/>
  <c r="R27"/>
  <c r="T27"/>
  <c r="V27"/>
  <c r="X27"/>
  <c r="Z27"/>
  <c r="AB27"/>
  <c r="AD27"/>
  <c r="AF27"/>
  <c r="N28"/>
  <c r="P28"/>
  <c r="R28"/>
  <c r="T28"/>
  <c r="V28"/>
  <c r="X28"/>
  <c r="Z28"/>
  <c r="AB28"/>
  <c r="AD28"/>
  <c r="AF28"/>
  <c r="N29"/>
  <c r="P29"/>
  <c r="R29"/>
  <c r="T29"/>
  <c r="V29"/>
  <c r="X29"/>
  <c r="Z29"/>
  <c r="AB29"/>
  <c r="AD29"/>
  <c r="AF29"/>
  <c r="N30"/>
  <c r="P30"/>
  <c r="R30"/>
  <c r="T30"/>
  <c r="V30"/>
  <c r="X30"/>
  <c r="Z30"/>
  <c r="AB30"/>
  <c r="AD30"/>
  <c r="AF30"/>
  <c r="N31"/>
  <c r="P31"/>
  <c r="R31"/>
  <c r="T31"/>
  <c r="V31"/>
  <c r="X31"/>
  <c r="Z31"/>
  <c r="AB31"/>
  <c r="AD31"/>
  <c r="AF31"/>
  <c r="N32"/>
  <c r="P32"/>
  <c r="R32"/>
  <c r="T32"/>
  <c r="V32"/>
  <c r="X32"/>
  <c r="Z32"/>
  <c r="AB32"/>
  <c r="AD32"/>
  <c r="AF32"/>
  <c r="N33"/>
  <c r="P33"/>
  <c r="R33"/>
  <c r="T33"/>
  <c r="V33"/>
  <c r="X33"/>
  <c r="Z33"/>
  <c r="AB33"/>
  <c r="AD33"/>
  <c r="AF33"/>
  <c r="N34"/>
  <c r="P34"/>
  <c r="R34"/>
  <c r="T34"/>
  <c r="V34"/>
  <c r="X34"/>
  <c r="Z34"/>
  <c r="AB34"/>
  <c r="AD34"/>
  <c r="AF34"/>
  <c r="N35"/>
  <c r="P35"/>
  <c r="R35"/>
  <c r="T35"/>
  <c r="V35"/>
  <c r="X35"/>
  <c r="Z35"/>
  <c r="AB35"/>
  <c r="AD35"/>
  <c r="AF35"/>
  <c r="N36"/>
  <c r="P36"/>
  <c r="R36"/>
  <c r="T36"/>
  <c r="V36"/>
  <c r="X36"/>
  <c r="Z36"/>
  <c r="AB36"/>
  <c r="AD36"/>
  <c r="AF36"/>
  <c r="N37"/>
  <c r="P37"/>
  <c r="R37"/>
  <c r="T37"/>
  <c r="V37"/>
  <c r="X37"/>
  <c r="Z37"/>
  <c r="AB37"/>
  <c r="AD37"/>
  <c r="AF37"/>
  <c r="N38"/>
  <c r="P38"/>
  <c r="R38"/>
  <c r="T38"/>
  <c r="V38"/>
  <c r="X38"/>
  <c r="Z38"/>
  <c r="AB38"/>
  <c r="AD38"/>
  <c r="AF38"/>
  <c r="N39"/>
  <c r="P39"/>
  <c r="R39"/>
  <c r="T39"/>
  <c r="V39"/>
  <c r="X39"/>
  <c r="Z39"/>
  <c r="AB39"/>
  <c r="AD39"/>
  <c r="AF39"/>
  <c r="N40"/>
  <c r="P40"/>
  <c r="R40"/>
  <c r="T40"/>
  <c r="V40"/>
  <c r="X40"/>
  <c r="Z40"/>
  <c r="AB40"/>
  <c r="AD40"/>
  <c r="AF40"/>
  <c r="N41"/>
  <c r="P41"/>
  <c r="R41"/>
  <c r="T41"/>
  <c r="V41"/>
  <c r="X41"/>
  <c r="Z41"/>
  <c r="AB41"/>
  <c r="AD41"/>
  <c r="AF41"/>
  <c r="N42"/>
  <c r="P42"/>
  <c r="R42"/>
  <c r="T42"/>
  <c r="V42"/>
  <c r="X42"/>
  <c r="Z42"/>
  <c r="AB42"/>
  <c r="AD42"/>
  <c r="AF42"/>
  <c r="N43"/>
  <c r="P43"/>
  <c r="R43"/>
  <c r="AE43"/>
  <c r="AC43"/>
  <c r="AA43"/>
  <c r="Y43"/>
  <c r="W43"/>
  <c r="U43"/>
  <c r="AF43"/>
  <c r="AD43"/>
  <c r="AB43"/>
  <c r="Z43"/>
  <c r="X43"/>
  <c r="V43"/>
  <c r="AE45"/>
  <c r="AC45"/>
  <c r="AA45"/>
  <c r="Y45"/>
  <c r="W45"/>
  <c r="U45"/>
  <c r="S45"/>
  <c r="Q45"/>
  <c r="O45"/>
  <c r="M45"/>
  <c r="AF45"/>
  <c r="AD45"/>
  <c r="AB45"/>
  <c r="Z45"/>
  <c r="X45"/>
  <c r="V45"/>
  <c r="T45"/>
  <c r="R45"/>
  <c r="P45"/>
  <c r="N45"/>
  <c r="AE47"/>
  <c r="AC47"/>
  <c r="AA47"/>
  <c r="Y47"/>
  <c r="W47"/>
  <c r="U47"/>
  <c r="S47"/>
  <c r="Q47"/>
  <c r="O47"/>
  <c r="M47"/>
  <c r="AF47"/>
  <c r="AD47"/>
  <c r="AB47"/>
  <c r="Z47"/>
  <c r="X47"/>
  <c r="V47"/>
  <c r="T47"/>
  <c r="R47"/>
  <c r="P47"/>
  <c r="N47"/>
  <c r="AE49"/>
  <c r="AC49"/>
  <c r="AA49"/>
  <c r="Y49"/>
  <c r="W49"/>
  <c r="U49"/>
  <c r="S49"/>
  <c r="Q49"/>
  <c r="O49"/>
  <c r="M49"/>
  <c r="AF49"/>
  <c r="AD49"/>
  <c r="AB49"/>
  <c r="Z49"/>
  <c r="X49"/>
  <c r="V49"/>
  <c r="T49"/>
  <c r="R49"/>
  <c r="P49"/>
  <c r="N49"/>
  <c r="AE51"/>
  <c r="AC51"/>
  <c r="AA51"/>
  <c r="Y51"/>
  <c r="W51"/>
  <c r="U51"/>
  <c r="S51"/>
  <c r="Q51"/>
  <c r="O51"/>
  <c r="M51"/>
  <c r="AF51"/>
  <c r="AD51"/>
  <c r="AB51"/>
  <c r="Z51"/>
  <c r="X51"/>
  <c r="V51"/>
  <c r="T51"/>
  <c r="R51"/>
  <c r="P51"/>
  <c r="N51"/>
  <c r="AE53"/>
  <c r="AC53"/>
  <c r="AA53"/>
  <c r="Y53"/>
  <c r="W53"/>
  <c r="U53"/>
  <c r="S53"/>
  <c r="Q53"/>
  <c r="O53"/>
  <c r="M53"/>
  <c r="AF53"/>
  <c r="AD53"/>
  <c r="AB53"/>
  <c r="Z53"/>
  <c r="X53"/>
  <c r="V53"/>
  <c r="T53"/>
  <c r="R53"/>
  <c r="P53"/>
  <c r="N53"/>
  <c r="AE55"/>
  <c r="AC55"/>
  <c r="AA55"/>
  <c r="Y55"/>
  <c r="W55"/>
  <c r="U55"/>
  <c r="S55"/>
  <c r="Q55"/>
  <c r="O55"/>
  <c r="M55"/>
  <c r="AF55"/>
  <c r="AD55"/>
  <c r="AB55"/>
  <c r="Z55"/>
  <c r="X55"/>
  <c r="V55"/>
  <c r="T55"/>
  <c r="R55"/>
  <c r="P55"/>
  <c r="N55"/>
  <c r="AE57"/>
  <c r="AC57"/>
  <c r="AA57"/>
  <c r="Y57"/>
  <c r="W57"/>
  <c r="U57"/>
  <c r="S57"/>
  <c r="Q57"/>
  <c r="O57"/>
  <c r="M57"/>
  <c r="AF57"/>
  <c r="AD57"/>
  <c r="AB57"/>
  <c r="Z57"/>
  <c r="X57"/>
  <c r="V57"/>
  <c r="T57"/>
  <c r="R57"/>
  <c r="P57"/>
  <c r="N57"/>
  <c r="AE59"/>
  <c r="AC59"/>
  <c r="AA59"/>
  <c r="Y59"/>
  <c r="W59"/>
  <c r="U59"/>
  <c r="S59"/>
  <c r="Q59"/>
  <c r="O59"/>
  <c r="M59"/>
  <c r="AF59"/>
  <c r="AD59"/>
  <c r="AB59"/>
  <c r="Z59"/>
  <c r="X59"/>
  <c r="V59"/>
  <c r="T59"/>
  <c r="R59"/>
  <c r="P59"/>
  <c r="N59"/>
  <c r="AE61"/>
  <c r="AC61"/>
  <c r="AA61"/>
  <c r="Y61"/>
  <c r="W61"/>
  <c r="U61"/>
  <c r="S61"/>
  <c r="Q61"/>
  <c r="O61"/>
  <c r="M61"/>
  <c r="AF61"/>
  <c r="AD61"/>
  <c r="AB61"/>
  <c r="Z61"/>
  <c r="X61"/>
  <c r="V61"/>
  <c r="T61"/>
  <c r="R61"/>
  <c r="P61"/>
  <c r="N61"/>
  <c r="AE63"/>
  <c r="AC63"/>
  <c r="AA63"/>
  <c r="Y63"/>
  <c r="W63"/>
  <c r="U63"/>
  <c r="S63"/>
  <c r="Q63"/>
  <c r="O63"/>
  <c r="M63"/>
  <c r="AF63"/>
  <c r="AD63"/>
  <c r="AB63"/>
  <c r="Z63"/>
  <c r="X63"/>
  <c r="V63"/>
  <c r="T63"/>
  <c r="R63"/>
  <c r="P63"/>
  <c r="N63"/>
  <c r="AE65"/>
  <c r="AC65"/>
  <c r="AA65"/>
  <c r="Y65"/>
  <c r="W65"/>
  <c r="U65"/>
  <c r="S65"/>
  <c r="Q65"/>
  <c r="O65"/>
  <c r="M65"/>
  <c r="AF65"/>
  <c r="AD65"/>
  <c r="AB65"/>
  <c r="Z65"/>
  <c r="X65"/>
  <c r="V65"/>
  <c r="T65"/>
  <c r="R65"/>
  <c r="P65"/>
  <c r="N65"/>
  <c r="AE67"/>
  <c r="AC67"/>
  <c r="AA67"/>
  <c r="Y67"/>
  <c r="W67"/>
  <c r="U67"/>
  <c r="S67"/>
  <c r="Q67"/>
  <c r="O67"/>
  <c r="M67"/>
  <c r="AF67"/>
  <c r="AD67"/>
  <c r="AB67"/>
  <c r="Z67"/>
  <c r="X67"/>
  <c r="V67"/>
  <c r="T67"/>
  <c r="R67"/>
  <c r="P67"/>
  <c r="N67"/>
  <c r="M12"/>
  <c r="O12"/>
  <c r="Q12"/>
  <c r="S12"/>
  <c r="U12"/>
  <c r="W12"/>
  <c r="Y12"/>
  <c r="AA12"/>
  <c r="AC12"/>
  <c r="M13"/>
  <c r="O13"/>
  <c r="Q13"/>
  <c r="S13"/>
  <c r="U13"/>
  <c r="W13"/>
  <c r="Y13"/>
  <c r="AA13"/>
  <c r="AC13"/>
  <c r="M14"/>
  <c r="O14"/>
  <c r="Q14"/>
  <c r="S14"/>
  <c r="U14"/>
  <c r="W14"/>
  <c r="Y14"/>
  <c r="AA14"/>
  <c r="AC14"/>
  <c r="M15"/>
  <c r="O15"/>
  <c r="Q15"/>
  <c r="S15"/>
  <c r="U15"/>
  <c r="W15"/>
  <c r="Y15"/>
  <c r="AA15"/>
  <c r="AC15"/>
  <c r="M16"/>
  <c r="O16"/>
  <c r="Q16"/>
  <c r="S16"/>
  <c r="U16"/>
  <c r="W16"/>
  <c r="Y16"/>
  <c r="AA16"/>
  <c r="AC16"/>
  <c r="M17"/>
  <c r="O17"/>
  <c r="Q17"/>
  <c r="S17"/>
  <c r="U17"/>
  <c r="W17"/>
  <c r="Y17"/>
  <c r="AA17"/>
  <c r="AC17"/>
  <c r="M18"/>
  <c r="O18"/>
  <c r="Q18"/>
  <c r="S18"/>
  <c r="U18"/>
  <c r="W18"/>
  <c r="Y18"/>
  <c r="AA18"/>
  <c r="AC18"/>
  <c r="M19"/>
  <c r="O19"/>
  <c r="Q19"/>
  <c r="S19"/>
  <c r="U19"/>
  <c r="W19"/>
  <c r="Y19"/>
  <c r="AA19"/>
  <c r="AC19"/>
  <c r="M20"/>
  <c r="O20"/>
  <c r="Q20"/>
  <c r="S20"/>
  <c r="U20"/>
  <c r="W20"/>
  <c r="Y20"/>
  <c r="AA20"/>
  <c r="AC20"/>
  <c r="M21"/>
  <c r="O21"/>
  <c r="Q21"/>
  <c r="S21"/>
  <c r="U21"/>
  <c r="W21"/>
  <c r="Y21"/>
  <c r="AA21"/>
  <c r="AC21"/>
  <c r="M22"/>
  <c r="O22"/>
  <c r="Q22"/>
  <c r="S22"/>
  <c r="U22"/>
  <c r="W22"/>
  <c r="Y22"/>
  <c r="AA22"/>
  <c r="AC22"/>
  <c r="M23"/>
  <c r="O23"/>
  <c r="Q23"/>
  <c r="S23"/>
  <c r="U23"/>
  <c r="W23"/>
  <c r="Y23"/>
  <c r="AA23"/>
  <c r="AC23"/>
  <c r="M24"/>
  <c r="O24"/>
  <c r="Q24"/>
  <c r="S24"/>
  <c r="U24"/>
  <c r="W24"/>
  <c r="Y24"/>
  <c r="AA24"/>
  <c r="AC24"/>
  <c r="M25"/>
  <c r="O25"/>
  <c r="Q25"/>
  <c r="S25"/>
  <c r="U25"/>
  <c r="W25"/>
  <c r="Y25"/>
  <c r="AA25"/>
  <c r="AC25"/>
  <c r="M26"/>
  <c r="O26"/>
  <c r="Q26"/>
  <c r="S26"/>
  <c r="U26"/>
  <c r="W26"/>
  <c r="Y26"/>
  <c r="AA26"/>
  <c r="AC26"/>
  <c r="M27"/>
  <c r="O27"/>
  <c r="Q27"/>
  <c r="S27"/>
  <c r="U27"/>
  <c r="W27"/>
  <c r="Y27"/>
  <c r="AA27"/>
  <c r="AC27"/>
  <c r="M28"/>
  <c r="O28"/>
  <c r="Q28"/>
  <c r="S28"/>
  <c r="U28"/>
  <c r="W28"/>
  <c r="Y28"/>
  <c r="AA28"/>
  <c r="AC28"/>
  <c r="M29"/>
  <c r="O29"/>
  <c r="Q29"/>
  <c r="S29"/>
  <c r="U29"/>
  <c r="W29"/>
  <c r="Y29"/>
  <c r="AA29"/>
  <c r="AC29"/>
  <c r="M30"/>
  <c r="O30"/>
  <c r="Q30"/>
  <c r="S30"/>
  <c r="U30"/>
  <c r="W30"/>
  <c r="Y30"/>
  <c r="AA30"/>
  <c r="AC30"/>
  <c r="M31"/>
  <c r="O31"/>
  <c r="Q31"/>
  <c r="S31"/>
  <c r="U31"/>
  <c r="W31"/>
  <c r="Y31"/>
  <c r="AA31"/>
  <c r="AC31"/>
  <c r="M32"/>
  <c r="O32"/>
  <c r="Q32"/>
  <c r="S32"/>
  <c r="U32"/>
  <c r="W32"/>
  <c r="Y32"/>
  <c r="AA32"/>
  <c r="AC32"/>
  <c r="M33"/>
  <c r="O33"/>
  <c r="Q33"/>
  <c r="S33"/>
  <c r="U33"/>
  <c r="W33"/>
  <c r="Y33"/>
  <c r="AA33"/>
  <c r="AC33"/>
  <c r="M34"/>
  <c r="O34"/>
  <c r="Q34"/>
  <c r="S34"/>
  <c r="U34"/>
  <c r="W34"/>
  <c r="Y34"/>
  <c r="AA34"/>
  <c r="AC34"/>
  <c r="M35"/>
  <c r="O35"/>
  <c r="Q35"/>
  <c r="S35"/>
  <c r="U35"/>
  <c r="W35"/>
  <c r="Y35"/>
  <c r="AA35"/>
  <c r="AC35"/>
  <c r="M36"/>
  <c r="O36"/>
  <c r="Q36"/>
  <c r="S36"/>
  <c r="U36"/>
  <c r="W36"/>
  <c r="Y36"/>
  <c r="AA36"/>
  <c r="AC36"/>
  <c r="M37"/>
  <c r="O37"/>
  <c r="Q37"/>
  <c r="S37"/>
  <c r="U37"/>
  <c r="W37"/>
  <c r="Y37"/>
  <c r="AA37"/>
  <c r="AC37"/>
  <c r="M38"/>
  <c r="O38"/>
  <c r="Q38"/>
  <c r="S38"/>
  <c r="U38"/>
  <c r="W38"/>
  <c r="Y38"/>
  <c r="AA38"/>
  <c r="AC38"/>
  <c r="M39"/>
  <c r="O39"/>
  <c r="Q39"/>
  <c r="S39"/>
  <c r="U39"/>
  <c r="W39"/>
  <c r="Y39"/>
  <c r="AA39"/>
  <c r="AC39"/>
  <c r="M40"/>
  <c r="O40"/>
  <c r="Q40"/>
  <c r="S40"/>
  <c r="U40"/>
  <c r="W40"/>
  <c r="Y40"/>
  <c r="AA40"/>
  <c r="AC40"/>
  <c r="M41"/>
  <c r="O41"/>
  <c r="Q41"/>
  <c r="S41"/>
  <c r="U41"/>
  <c r="W41"/>
  <c r="Y41"/>
  <c r="AA41"/>
  <c r="AC41"/>
  <c r="M42"/>
  <c r="O42"/>
  <c r="Q42"/>
  <c r="S42"/>
  <c r="U42"/>
  <c r="W42"/>
  <c r="Y42"/>
  <c r="AA42"/>
  <c r="AC42"/>
  <c r="M43"/>
  <c r="O43"/>
  <c r="Q43"/>
  <c r="S43"/>
  <c r="AE7"/>
  <c r="N7"/>
  <c r="P7"/>
  <c r="R7"/>
  <c r="T7"/>
  <c r="V7"/>
  <c r="X7"/>
  <c r="Z7"/>
  <c r="AB7"/>
  <c r="AD7"/>
  <c r="AF7"/>
  <c r="M7"/>
  <c r="O7"/>
  <c r="Q7"/>
  <c r="S7"/>
  <c r="U7"/>
  <c r="W7"/>
  <c r="Y7"/>
  <c r="AA7"/>
  <c r="AC7"/>
  <c r="S98" i="2"/>
  <c r="R98"/>
  <c r="D35"/>
  <c r="E35"/>
  <c r="D31"/>
  <c r="E31"/>
  <c r="D27"/>
  <c r="E27"/>
  <c r="D23"/>
  <c r="E23"/>
  <c r="D75"/>
  <c r="E75"/>
  <c r="D71"/>
  <c r="E71"/>
  <c r="D67"/>
  <c r="E67"/>
  <c r="D63"/>
  <c r="E63"/>
  <c r="D59"/>
  <c r="E59"/>
  <c r="D55"/>
  <c r="E55"/>
  <c r="D51"/>
  <c r="E51"/>
  <c r="D47"/>
  <c r="E47"/>
  <c r="D43"/>
  <c r="E43"/>
  <c r="D39"/>
  <c r="E39"/>
  <c r="D33"/>
  <c r="E33"/>
  <c r="D29"/>
  <c r="E29"/>
  <c r="D25"/>
  <c r="E25"/>
  <c r="D21"/>
  <c r="E21"/>
  <c r="D73"/>
  <c r="E73"/>
  <c r="D69"/>
  <c r="E69"/>
  <c r="D65"/>
  <c r="E65"/>
  <c r="D61"/>
  <c r="E61"/>
  <c r="D57"/>
  <c r="E57"/>
  <c r="D53"/>
  <c r="E53"/>
  <c r="D49"/>
  <c r="E49"/>
  <c r="D45"/>
  <c r="E45"/>
  <c r="D41"/>
  <c r="E41"/>
  <c r="D37"/>
  <c r="E37"/>
  <c r="E34"/>
  <c r="E32"/>
  <c r="E30"/>
  <c r="E28"/>
  <c r="E26"/>
  <c r="E24"/>
  <c r="E22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N98"/>
  <c r="U98" s="1"/>
  <c r="Q98"/>
  <c r="L110"/>
  <c r="M110" s="1"/>
  <c r="H110"/>
  <c r="I110" s="1"/>
  <c r="L109"/>
  <c r="M109" s="1"/>
  <c r="H109"/>
  <c r="L108"/>
  <c r="M108" s="1"/>
  <c r="H108"/>
  <c r="I108" s="1"/>
  <c r="L107"/>
  <c r="M107" s="1"/>
  <c r="H107"/>
  <c r="L106"/>
  <c r="M106" s="1"/>
  <c r="H106"/>
  <c r="I106" s="1"/>
  <c r="L105"/>
  <c r="M105" s="1"/>
  <c r="H105"/>
  <c r="L104"/>
  <c r="M104" s="1"/>
  <c r="H104"/>
  <c r="I104" s="1"/>
  <c r="L103"/>
  <c r="M103" s="1"/>
  <c r="H103"/>
  <c r="L102"/>
  <c r="M102" s="1"/>
  <c r="H102"/>
  <c r="I102" s="1"/>
  <c r="L101"/>
  <c r="M101" s="1"/>
  <c r="H101"/>
  <c r="L100"/>
  <c r="M100" s="1"/>
  <c r="H100"/>
  <c r="I100" s="1"/>
  <c r="L99"/>
  <c r="M99" s="1"/>
  <c r="H99"/>
  <c r="L97"/>
  <c r="M97" s="1"/>
  <c r="H97"/>
  <c r="I97" s="1"/>
  <c r="L96"/>
  <c r="M96" s="1"/>
  <c r="H96"/>
  <c r="I96" s="1"/>
  <c r="L95"/>
  <c r="M95" s="1"/>
  <c r="H95"/>
  <c r="I95" s="1"/>
  <c r="L94"/>
  <c r="M94" s="1"/>
  <c r="H94"/>
  <c r="I94" s="1"/>
  <c r="L93"/>
  <c r="M93" s="1"/>
  <c r="H93"/>
  <c r="I93" s="1"/>
  <c r="L92"/>
  <c r="M92" s="1"/>
  <c r="H92"/>
  <c r="I92" s="1"/>
  <c r="L91"/>
  <c r="M91" s="1"/>
  <c r="H91"/>
  <c r="I91" s="1"/>
  <c r="L90"/>
  <c r="M90" s="1"/>
  <c r="H90"/>
  <c r="I90" s="1"/>
  <c r="L89"/>
  <c r="M89" s="1"/>
  <c r="H89"/>
  <c r="I89" s="1"/>
  <c r="L88"/>
  <c r="M88" s="1"/>
  <c r="H88"/>
  <c r="I88" s="1"/>
  <c r="L87"/>
  <c r="M87" s="1"/>
  <c r="H87"/>
  <c r="I87" s="1"/>
  <c r="L86"/>
  <c r="M86" s="1"/>
  <c r="H86"/>
  <c r="I86" s="1"/>
  <c r="L85"/>
  <c r="M85" s="1"/>
  <c r="H85"/>
  <c r="I85" s="1"/>
  <c r="L84"/>
  <c r="M84" s="1"/>
  <c r="H84"/>
  <c r="I84" s="1"/>
  <c r="L83"/>
  <c r="M83" s="1"/>
  <c r="H83"/>
  <c r="I83" s="1"/>
  <c r="L82"/>
  <c r="M82" s="1"/>
  <c r="H82"/>
  <c r="I82" s="1"/>
  <c r="L81"/>
  <c r="M81" s="1"/>
  <c r="H81"/>
  <c r="I81" s="1"/>
  <c r="L80"/>
  <c r="M80" s="1"/>
  <c r="H80"/>
  <c r="I80" s="1"/>
  <c r="L79"/>
  <c r="M79" s="1"/>
  <c r="H79"/>
  <c r="I79" s="1"/>
  <c r="L78"/>
  <c r="M78" s="1"/>
  <c r="H78"/>
  <c r="I78" s="1"/>
  <c r="L77"/>
  <c r="M77" s="1"/>
  <c r="H77"/>
  <c r="I77" s="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I109"/>
  <c r="I107"/>
  <c r="I105"/>
  <c r="I103"/>
  <c r="I101"/>
  <c r="I99"/>
  <c r="H98"/>
  <c r="I98" s="1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D10"/>
  <c r="D20"/>
  <c r="D19"/>
  <c r="D18"/>
  <c r="D17"/>
  <c r="D16"/>
  <c r="D15"/>
  <c r="D14"/>
  <c r="D13"/>
  <c r="D12"/>
  <c r="D11"/>
  <c r="G19"/>
  <c r="G18"/>
  <c r="G17"/>
  <c r="G16"/>
  <c r="G15"/>
  <c r="G14"/>
  <c r="G13"/>
  <c r="G12"/>
  <c r="G11"/>
  <c r="G10"/>
  <c r="L10" s="1"/>
  <c r="I12" i="3" l="1"/>
  <c r="I38"/>
  <c r="I42"/>
  <c r="I40"/>
  <c r="I36"/>
  <c r="I43"/>
  <c r="I41"/>
  <c r="I39"/>
  <c r="I37"/>
  <c r="I35"/>
  <c r="I33"/>
  <c r="I31"/>
  <c r="I29"/>
  <c r="I27"/>
  <c r="I25"/>
  <c r="I23"/>
  <c r="I21"/>
  <c r="I19"/>
  <c r="I17"/>
  <c r="I15"/>
  <c r="I34"/>
  <c r="I32"/>
  <c r="I30"/>
  <c r="I28"/>
  <c r="I26"/>
  <c r="I24"/>
  <c r="I22"/>
  <c r="I20"/>
  <c r="I18"/>
  <c r="I16"/>
  <c r="I14"/>
  <c r="I13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8" s="1"/>
  <c r="I44"/>
  <c r="R77" i="2"/>
  <c r="S77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9"/>
  <c r="S99"/>
  <c r="R100"/>
  <c r="S100"/>
  <c r="R101"/>
  <c r="S101"/>
  <c r="R102"/>
  <c r="S102"/>
  <c r="R103"/>
  <c r="S103"/>
  <c r="R104"/>
  <c r="S104"/>
  <c r="R105"/>
  <c r="S105"/>
  <c r="R106"/>
  <c r="S106"/>
  <c r="R107"/>
  <c r="S107"/>
  <c r="R108"/>
  <c r="S108"/>
  <c r="R109"/>
  <c r="S109"/>
  <c r="R110"/>
  <c r="S110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9"/>
  <c r="T100"/>
  <c r="T101"/>
  <c r="T102"/>
  <c r="T103"/>
  <c r="T104"/>
  <c r="T105"/>
  <c r="T106"/>
  <c r="T107"/>
  <c r="T108"/>
  <c r="T109"/>
  <c r="T110"/>
  <c r="N77"/>
  <c r="Q77"/>
  <c r="N78"/>
  <c r="Q78"/>
  <c r="N79"/>
  <c r="Q79"/>
  <c r="N80"/>
  <c r="Q80"/>
  <c r="N81"/>
  <c r="Q81"/>
  <c r="N82"/>
  <c r="Q82"/>
  <c r="N83"/>
  <c r="Q83"/>
  <c r="N84"/>
  <c r="U84" s="1"/>
  <c r="Q84"/>
  <c r="N85"/>
  <c r="Q85"/>
  <c r="N86"/>
  <c r="Q86"/>
  <c r="N87"/>
  <c r="Q87"/>
  <c r="N88"/>
  <c r="Q88"/>
  <c r="N89"/>
  <c r="Q89"/>
  <c r="N90"/>
  <c r="Q90"/>
  <c r="N91"/>
  <c r="Q91"/>
  <c r="N92"/>
  <c r="Q92"/>
  <c r="N93"/>
  <c r="Q93"/>
  <c r="N94"/>
  <c r="Q94"/>
  <c r="N95"/>
  <c r="Q95"/>
  <c r="N96"/>
  <c r="Q96"/>
  <c r="N97"/>
  <c r="Q97"/>
  <c r="N99"/>
  <c r="Q99"/>
  <c r="N100"/>
  <c r="Q100"/>
  <c r="N101"/>
  <c r="U101" s="1"/>
  <c r="Q101"/>
  <c r="N102"/>
  <c r="Q102"/>
  <c r="N103"/>
  <c r="Q103"/>
  <c r="N104"/>
  <c r="Q104"/>
  <c r="N105"/>
  <c r="U105" s="1"/>
  <c r="Q105"/>
  <c r="N106"/>
  <c r="Q106"/>
  <c r="N107"/>
  <c r="Q107"/>
  <c r="N108"/>
  <c r="Q108"/>
  <c r="N109"/>
  <c r="U109" s="1"/>
  <c r="Q109"/>
  <c r="N110"/>
  <c r="Q110"/>
  <c r="O98"/>
  <c r="J98"/>
  <c r="O77"/>
  <c r="J77"/>
  <c r="O78"/>
  <c r="J78"/>
  <c r="O79"/>
  <c r="J79"/>
  <c r="O80"/>
  <c r="J80"/>
  <c r="O81"/>
  <c r="J81"/>
  <c r="O82"/>
  <c r="J82"/>
  <c r="O83"/>
  <c r="J83"/>
  <c r="O84"/>
  <c r="J84"/>
  <c r="O85"/>
  <c r="J85"/>
  <c r="O86"/>
  <c r="J86"/>
  <c r="O87"/>
  <c r="J87"/>
  <c r="O88"/>
  <c r="J88"/>
  <c r="O89"/>
  <c r="J89"/>
  <c r="O90"/>
  <c r="J90"/>
  <c r="O91"/>
  <c r="J91"/>
  <c r="O92"/>
  <c r="J92"/>
  <c r="O93"/>
  <c r="J93"/>
  <c r="O94"/>
  <c r="J94"/>
  <c r="O95"/>
  <c r="J95"/>
  <c r="O96"/>
  <c r="J96"/>
  <c r="O97"/>
  <c r="J97"/>
  <c r="O99"/>
  <c r="J99"/>
  <c r="O100"/>
  <c r="J100"/>
  <c r="O101"/>
  <c r="J101"/>
  <c r="O102"/>
  <c r="J102"/>
  <c r="O103"/>
  <c r="J103"/>
  <c r="O104"/>
  <c r="J104"/>
  <c r="O105"/>
  <c r="J105"/>
  <c r="O106"/>
  <c r="J106"/>
  <c r="O107"/>
  <c r="J107"/>
  <c r="O108"/>
  <c r="J108"/>
  <c r="O109"/>
  <c r="J109"/>
  <c r="O110"/>
  <c r="J110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H10"/>
  <c r="I10" s="1"/>
  <c r="M10"/>
  <c r="S10" s="1"/>
  <c r="H11"/>
  <c r="I11" s="1"/>
  <c r="L11"/>
  <c r="M11" s="1"/>
  <c r="H12"/>
  <c r="I12" s="1"/>
  <c r="L12"/>
  <c r="M12" s="1"/>
  <c r="H13"/>
  <c r="I13" s="1"/>
  <c r="L13"/>
  <c r="M13" s="1"/>
  <c r="H14"/>
  <c r="I14" s="1"/>
  <c r="L14"/>
  <c r="M14" s="1"/>
  <c r="H15"/>
  <c r="I15" s="1"/>
  <c r="L15"/>
  <c r="M15" s="1"/>
  <c r="H16"/>
  <c r="I16" s="1"/>
  <c r="L16"/>
  <c r="M16" s="1"/>
  <c r="H17"/>
  <c r="I17" s="1"/>
  <c r="L17"/>
  <c r="M17" s="1"/>
  <c r="H18"/>
  <c r="I18" s="1"/>
  <c r="L18"/>
  <c r="M18" s="1"/>
  <c r="H19"/>
  <c r="I19" s="1"/>
  <c r="L19"/>
  <c r="M19" s="1"/>
  <c r="H20"/>
  <c r="I20" s="1"/>
  <c r="L20"/>
  <c r="M20" s="1"/>
  <c r="H21"/>
  <c r="I21" s="1"/>
  <c r="L21"/>
  <c r="M21" s="1"/>
  <c r="H22"/>
  <c r="I22" s="1"/>
  <c r="L22"/>
  <c r="M22" s="1"/>
  <c r="H23"/>
  <c r="I23" s="1"/>
  <c r="L23"/>
  <c r="M23" s="1"/>
  <c r="H24"/>
  <c r="I24" s="1"/>
  <c r="L24"/>
  <c r="M24" s="1"/>
  <c r="H25"/>
  <c r="I25" s="1"/>
  <c r="L25"/>
  <c r="M25" s="1"/>
  <c r="H26"/>
  <c r="I26" s="1"/>
  <c r="L26"/>
  <c r="M26" s="1"/>
  <c r="H27"/>
  <c r="I27" s="1"/>
  <c r="L27"/>
  <c r="M27" s="1"/>
  <c r="H28"/>
  <c r="I28" s="1"/>
  <c r="L28"/>
  <c r="M28" s="1"/>
  <c r="H29"/>
  <c r="I29" s="1"/>
  <c r="L29"/>
  <c r="M29" s="1"/>
  <c r="H30"/>
  <c r="I30" s="1"/>
  <c r="L30"/>
  <c r="M30" s="1"/>
  <c r="H31"/>
  <c r="I31" s="1"/>
  <c r="L31"/>
  <c r="M31" s="1"/>
  <c r="H32"/>
  <c r="I32" s="1"/>
  <c r="L32"/>
  <c r="M32" s="1"/>
  <c r="H33"/>
  <c r="I33" s="1"/>
  <c r="L33"/>
  <c r="M33" s="1"/>
  <c r="H34"/>
  <c r="I34" s="1"/>
  <c r="L34"/>
  <c r="M34" s="1"/>
  <c r="H35"/>
  <c r="I35" s="1"/>
  <c r="L35"/>
  <c r="M35" s="1"/>
  <c r="H36"/>
  <c r="I36" s="1"/>
  <c r="L36"/>
  <c r="M36" s="1"/>
  <c r="H37"/>
  <c r="I37" s="1"/>
  <c r="L37"/>
  <c r="M37" s="1"/>
  <c r="H38"/>
  <c r="I38" s="1"/>
  <c r="L38"/>
  <c r="M38" s="1"/>
  <c r="H39"/>
  <c r="I39" s="1"/>
  <c r="L39"/>
  <c r="M39" s="1"/>
  <c r="H40"/>
  <c r="I40" s="1"/>
  <c r="L40"/>
  <c r="M40" s="1"/>
  <c r="H41"/>
  <c r="I41" s="1"/>
  <c r="L41"/>
  <c r="M41" s="1"/>
  <c r="H42"/>
  <c r="I42" s="1"/>
  <c r="L42"/>
  <c r="M42" s="1"/>
  <c r="H43"/>
  <c r="I43" s="1"/>
  <c r="L43"/>
  <c r="M43" s="1"/>
  <c r="H44"/>
  <c r="I44" s="1"/>
  <c r="L44"/>
  <c r="M44" s="1"/>
  <c r="H45"/>
  <c r="I45" s="1"/>
  <c r="L45"/>
  <c r="M45" s="1"/>
  <c r="H46"/>
  <c r="I46" s="1"/>
  <c r="L46"/>
  <c r="M46" s="1"/>
  <c r="H47"/>
  <c r="I47" s="1"/>
  <c r="L47"/>
  <c r="M47" s="1"/>
  <c r="H48"/>
  <c r="I48" s="1"/>
  <c r="L48"/>
  <c r="M48" s="1"/>
  <c r="H49"/>
  <c r="I49" s="1"/>
  <c r="L49"/>
  <c r="M49" s="1"/>
  <c r="H50"/>
  <c r="I50" s="1"/>
  <c r="L50"/>
  <c r="M50" s="1"/>
  <c r="H51"/>
  <c r="I51" s="1"/>
  <c r="L51"/>
  <c r="M51" s="1"/>
  <c r="H52"/>
  <c r="I52" s="1"/>
  <c r="L52"/>
  <c r="M52" s="1"/>
  <c r="H53"/>
  <c r="I53" s="1"/>
  <c r="L53"/>
  <c r="M53" s="1"/>
  <c r="H54"/>
  <c r="I54" s="1"/>
  <c r="L54"/>
  <c r="M54" s="1"/>
  <c r="H55"/>
  <c r="I55" s="1"/>
  <c r="L55"/>
  <c r="M55" s="1"/>
  <c r="H56"/>
  <c r="I56" s="1"/>
  <c r="L56"/>
  <c r="M56" s="1"/>
  <c r="H57"/>
  <c r="I57" s="1"/>
  <c r="L57"/>
  <c r="M57" s="1"/>
  <c r="H58"/>
  <c r="I58" s="1"/>
  <c r="L58"/>
  <c r="M58" s="1"/>
  <c r="H59"/>
  <c r="I59" s="1"/>
  <c r="L59"/>
  <c r="M59" s="1"/>
  <c r="H60"/>
  <c r="I60" s="1"/>
  <c r="L60"/>
  <c r="M60" s="1"/>
  <c r="H61"/>
  <c r="I61" s="1"/>
  <c r="L61"/>
  <c r="M61" s="1"/>
  <c r="H62"/>
  <c r="I62" s="1"/>
  <c r="L62"/>
  <c r="M62" s="1"/>
  <c r="H63"/>
  <c r="I63" s="1"/>
  <c r="L63"/>
  <c r="M63" s="1"/>
  <c r="H64"/>
  <c r="I64" s="1"/>
  <c r="L64"/>
  <c r="M64" s="1"/>
  <c r="H65"/>
  <c r="I65" s="1"/>
  <c r="L65"/>
  <c r="M65" s="1"/>
  <c r="H66"/>
  <c r="I66" s="1"/>
  <c r="L66"/>
  <c r="M66" s="1"/>
  <c r="H67"/>
  <c r="I67" s="1"/>
  <c r="L67"/>
  <c r="M67" s="1"/>
  <c r="H68"/>
  <c r="I68" s="1"/>
  <c r="L68"/>
  <c r="M68" s="1"/>
  <c r="H69"/>
  <c r="I69" s="1"/>
  <c r="L69"/>
  <c r="M69" s="1"/>
  <c r="H70"/>
  <c r="I70" s="1"/>
  <c r="L70"/>
  <c r="M70" s="1"/>
  <c r="H71"/>
  <c r="I71" s="1"/>
  <c r="L71"/>
  <c r="M71" s="1"/>
  <c r="H72"/>
  <c r="I72" s="1"/>
  <c r="L72"/>
  <c r="M72" s="1"/>
  <c r="H73"/>
  <c r="I73" s="1"/>
  <c r="L73"/>
  <c r="M73" s="1"/>
  <c r="H74"/>
  <c r="I74" s="1"/>
  <c r="L74"/>
  <c r="M74" s="1"/>
  <c r="H75"/>
  <c r="I75" s="1"/>
  <c r="L75"/>
  <c r="M75" s="1"/>
  <c r="H76"/>
  <c r="I76" s="1"/>
  <c r="L76"/>
  <c r="M76" s="1"/>
  <c r="AE8" i="3" l="1"/>
  <c r="AC8"/>
  <c r="AA8"/>
  <c r="Y8"/>
  <c r="W8"/>
  <c r="U8"/>
  <c r="S8"/>
  <c r="Q8"/>
  <c r="O8"/>
  <c r="M8"/>
  <c r="AF8"/>
  <c r="AD8"/>
  <c r="AB8"/>
  <c r="Z8"/>
  <c r="X8"/>
  <c r="V8"/>
  <c r="T8"/>
  <c r="R8"/>
  <c r="P8"/>
  <c r="N8"/>
  <c r="R76" i="2"/>
  <c r="S76"/>
  <c r="R74"/>
  <c r="S74"/>
  <c r="R72"/>
  <c r="S72"/>
  <c r="R70"/>
  <c r="S70"/>
  <c r="R68"/>
  <c r="S68"/>
  <c r="R65"/>
  <c r="S65"/>
  <c r="R63"/>
  <c r="S63"/>
  <c r="R61"/>
  <c r="S61"/>
  <c r="R59"/>
  <c r="S59"/>
  <c r="R57"/>
  <c r="S57"/>
  <c r="R55"/>
  <c r="S55"/>
  <c r="R54"/>
  <c r="S54"/>
  <c r="R52"/>
  <c r="S52"/>
  <c r="R50"/>
  <c r="S50"/>
  <c r="R48"/>
  <c r="S48"/>
  <c r="R46"/>
  <c r="S46"/>
  <c r="R44"/>
  <c r="S44"/>
  <c r="R41"/>
  <c r="S41"/>
  <c r="R39"/>
  <c r="S39"/>
  <c r="R37"/>
  <c r="S37"/>
  <c r="R35"/>
  <c r="S35"/>
  <c r="R33"/>
  <c r="S33"/>
  <c r="R31"/>
  <c r="S31"/>
  <c r="R30"/>
  <c r="S30"/>
  <c r="R28"/>
  <c r="S28"/>
  <c r="R26"/>
  <c r="S26"/>
  <c r="R23"/>
  <c r="S23"/>
  <c r="R21"/>
  <c r="S21"/>
  <c r="R19"/>
  <c r="S19"/>
  <c r="R18"/>
  <c r="S18"/>
  <c r="R16"/>
  <c r="S16"/>
  <c r="R14"/>
  <c r="S14"/>
  <c r="R12"/>
  <c r="S12"/>
  <c r="R11"/>
  <c r="S11"/>
  <c r="R75"/>
  <c r="S75"/>
  <c r="R73"/>
  <c r="S73"/>
  <c r="R71"/>
  <c r="S71"/>
  <c r="R69"/>
  <c r="S69"/>
  <c r="R67"/>
  <c r="S67"/>
  <c r="R66"/>
  <c r="S66"/>
  <c r="R64"/>
  <c r="S64"/>
  <c r="R62"/>
  <c r="S62"/>
  <c r="R60"/>
  <c r="S60"/>
  <c r="R58"/>
  <c r="S58"/>
  <c r="R56"/>
  <c r="S56"/>
  <c r="R53"/>
  <c r="S53"/>
  <c r="R51"/>
  <c r="S51"/>
  <c r="R49"/>
  <c r="S49"/>
  <c r="R47"/>
  <c r="S47"/>
  <c r="R45"/>
  <c r="S45"/>
  <c r="R43"/>
  <c r="S43"/>
  <c r="R42"/>
  <c r="S42"/>
  <c r="R40"/>
  <c r="S40"/>
  <c r="R38"/>
  <c r="S38"/>
  <c r="R36"/>
  <c r="S36"/>
  <c r="R34"/>
  <c r="S34"/>
  <c r="R32"/>
  <c r="S32"/>
  <c r="R29"/>
  <c r="S29"/>
  <c r="R27"/>
  <c r="S27"/>
  <c r="R25"/>
  <c r="S25"/>
  <c r="R24"/>
  <c r="S24"/>
  <c r="R22"/>
  <c r="S22"/>
  <c r="R20"/>
  <c r="S20"/>
  <c r="R17"/>
  <c r="S17"/>
  <c r="R15"/>
  <c r="S15"/>
  <c r="R13"/>
  <c r="S13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R10"/>
  <c r="U110"/>
  <c r="U106"/>
  <c r="U102"/>
  <c r="U97"/>
  <c r="U93"/>
  <c r="U89"/>
  <c r="U85"/>
  <c r="U81"/>
  <c r="U77"/>
  <c r="U107"/>
  <c r="U103"/>
  <c r="U99"/>
  <c r="U108"/>
  <c r="U104"/>
  <c r="U100"/>
  <c r="U95"/>
  <c r="U91"/>
  <c r="U87"/>
  <c r="U83"/>
  <c r="U79"/>
  <c r="U96"/>
  <c r="U94"/>
  <c r="U92"/>
  <c r="U90"/>
  <c r="U88"/>
  <c r="U86"/>
  <c r="U82"/>
  <c r="U80"/>
  <c r="U78"/>
  <c r="N76"/>
  <c r="Q76"/>
  <c r="N75"/>
  <c r="Q75"/>
  <c r="N74"/>
  <c r="Q74"/>
  <c r="N73"/>
  <c r="Q73"/>
  <c r="N72"/>
  <c r="Q72"/>
  <c r="N71"/>
  <c r="Q71"/>
  <c r="N70"/>
  <c r="Q70"/>
  <c r="N69"/>
  <c r="Q69"/>
  <c r="N68"/>
  <c r="Q68"/>
  <c r="N67"/>
  <c r="Q67"/>
  <c r="N66"/>
  <c r="Q66"/>
  <c r="N65"/>
  <c r="Q65"/>
  <c r="N64"/>
  <c r="Q64"/>
  <c r="N63"/>
  <c r="Q63"/>
  <c r="N62"/>
  <c r="Q62"/>
  <c r="N61"/>
  <c r="Q61"/>
  <c r="N60"/>
  <c r="Q60"/>
  <c r="N59"/>
  <c r="Q59"/>
  <c r="N58"/>
  <c r="Q58"/>
  <c r="N57"/>
  <c r="Q57"/>
  <c r="N56"/>
  <c r="Q56"/>
  <c r="N55"/>
  <c r="Q55"/>
  <c r="N54"/>
  <c r="Q54"/>
  <c r="N53"/>
  <c r="Q53"/>
  <c r="N52"/>
  <c r="Q52"/>
  <c r="N51"/>
  <c r="Q51"/>
  <c r="N50"/>
  <c r="Q50"/>
  <c r="N49"/>
  <c r="Q49"/>
  <c r="N48"/>
  <c r="Q48"/>
  <c r="N47"/>
  <c r="Q47"/>
  <c r="N46"/>
  <c r="Q46"/>
  <c r="N45"/>
  <c r="Q45"/>
  <c r="N44"/>
  <c r="Q44"/>
  <c r="N43"/>
  <c r="Q43"/>
  <c r="N42"/>
  <c r="Q42"/>
  <c r="N41"/>
  <c r="Q41"/>
  <c r="N40"/>
  <c r="Q40"/>
  <c r="N39"/>
  <c r="Q39"/>
  <c r="N38"/>
  <c r="Q38"/>
  <c r="N37"/>
  <c r="Q37"/>
  <c r="N36"/>
  <c r="Q36"/>
  <c r="N35"/>
  <c r="Q35"/>
  <c r="N34"/>
  <c r="Q34"/>
  <c r="N33"/>
  <c r="Q33"/>
  <c r="N32"/>
  <c r="Q32"/>
  <c r="N31"/>
  <c r="Q31"/>
  <c r="N30"/>
  <c r="Q30"/>
  <c r="N29"/>
  <c r="Q29"/>
  <c r="N28"/>
  <c r="Q28"/>
  <c r="N27"/>
  <c r="Q27"/>
  <c r="N26"/>
  <c r="Q26"/>
  <c r="N25"/>
  <c r="Q25"/>
  <c r="N24"/>
  <c r="Q24"/>
  <c r="N23"/>
  <c r="Q23"/>
  <c r="N22"/>
  <c r="Q22"/>
  <c r="N21"/>
  <c r="Q21"/>
  <c r="N20"/>
  <c r="Q20"/>
  <c r="N19"/>
  <c r="Q19"/>
  <c r="N18"/>
  <c r="Q18"/>
  <c r="N17"/>
  <c r="Q17"/>
  <c r="N16"/>
  <c r="Q16"/>
  <c r="N15"/>
  <c r="Q15"/>
  <c r="N14"/>
  <c r="Q14"/>
  <c r="N13"/>
  <c r="Q13"/>
  <c r="N12"/>
  <c r="Q12"/>
  <c r="N11"/>
  <c r="Q11"/>
  <c r="Q10"/>
  <c r="N10"/>
  <c r="J76"/>
  <c r="O76"/>
  <c r="J75"/>
  <c r="O75"/>
  <c r="J74"/>
  <c r="O74"/>
  <c r="J73"/>
  <c r="O73"/>
  <c r="J72"/>
  <c r="O72"/>
  <c r="J71"/>
  <c r="O71"/>
  <c r="J70"/>
  <c r="O70"/>
  <c r="J69"/>
  <c r="O69"/>
  <c r="J68"/>
  <c r="O68"/>
  <c r="J67"/>
  <c r="O67"/>
  <c r="J66"/>
  <c r="O66"/>
  <c r="J65"/>
  <c r="O65"/>
  <c r="J64"/>
  <c r="O64"/>
  <c r="J63"/>
  <c r="O63"/>
  <c r="J62"/>
  <c r="O62"/>
  <c r="J61"/>
  <c r="O61"/>
  <c r="J60"/>
  <c r="O60"/>
  <c r="J59"/>
  <c r="O59"/>
  <c r="J58"/>
  <c r="O58"/>
  <c r="J57"/>
  <c r="O57"/>
  <c r="J56"/>
  <c r="O56"/>
  <c r="J55"/>
  <c r="O55"/>
  <c r="J54"/>
  <c r="O54"/>
  <c r="J53"/>
  <c r="O53"/>
  <c r="J52"/>
  <c r="O52"/>
  <c r="J51"/>
  <c r="O51"/>
  <c r="J50"/>
  <c r="O50"/>
  <c r="J49"/>
  <c r="O49"/>
  <c r="J48"/>
  <c r="O48"/>
  <c r="J47"/>
  <c r="O47"/>
  <c r="J46"/>
  <c r="O46"/>
  <c r="J45"/>
  <c r="O45"/>
  <c r="J44"/>
  <c r="O44"/>
  <c r="J43"/>
  <c r="O43"/>
  <c r="J42"/>
  <c r="O42"/>
  <c r="J41"/>
  <c r="O41"/>
  <c r="J40"/>
  <c r="O40"/>
  <c r="J39"/>
  <c r="O39"/>
  <c r="J38"/>
  <c r="O38"/>
  <c r="J37"/>
  <c r="O37"/>
  <c r="J36"/>
  <c r="O36"/>
  <c r="J35"/>
  <c r="O35"/>
  <c r="J34"/>
  <c r="O34"/>
  <c r="J33"/>
  <c r="O33"/>
  <c r="J32"/>
  <c r="O32"/>
  <c r="J31"/>
  <c r="O31"/>
  <c r="J30"/>
  <c r="O30"/>
  <c r="J29"/>
  <c r="O29"/>
  <c r="J28"/>
  <c r="O28"/>
  <c r="J27"/>
  <c r="O27"/>
  <c r="J26"/>
  <c r="O26"/>
  <c r="J25"/>
  <c r="O25"/>
  <c r="J24"/>
  <c r="O24"/>
  <c r="J23"/>
  <c r="O23"/>
  <c r="J22"/>
  <c r="O22"/>
  <c r="J21"/>
  <c r="O21"/>
  <c r="J20"/>
  <c r="O20"/>
  <c r="J19"/>
  <c r="O19"/>
  <c r="J18"/>
  <c r="O18"/>
  <c r="J17"/>
  <c r="O17"/>
  <c r="J16"/>
  <c r="O16"/>
  <c r="J15"/>
  <c r="O15"/>
  <c r="J14"/>
  <c r="O14"/>
  <c r="J13"/>
  <c r="O13"/>
  <c r="J12"/>
  <c r="O12"/>
  <c r="J11"/>
  <c r="O11"/>
  <c r="J10"/>
  <c r="O10"/>
  <c r="U12" l="1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11"/>
  <c r="U13"/>
  <c r="U15"/>
  <c r="U17"/>
  <c r="U19"/>
  <c r="U21"/>
  <c r="U23"/>
  <c r="U25"/>
  <c r="U27"/>
  <c r="U29"/>
  <c r="U31"/>
  <c r="U33"/>
  <c r="U35"/>
  <c r="U37"/>
  <c r="U39"/>
  <c r="U41"/>
  <c r="U43"/>
  <c r="U45"/>
  <c r="U47"/>
  <c r="U49"/>
  <c r="U51"/>
  <c r="U53"/>
  <c r="U55"/>
  <c r="U57"/>
  <c r="U59"/>
  <c r="U61"/>
  <c r="U63"/>
  <c r="U65"/>
  <c r="U67"/>
  <c r="U69"/>
  <c r="U71"/>
  <c r="U73"/>
  <c r="U75"/>
  <c r="U10"/>
</calcChain>
</file>

<file path=xl/sharedStrings.xml><?xml version="1.0" encoding="utf-8"?>
<sst xmlns="http://schemas.openxmlformats.org/spreadsheetml/2006/main" count="427" uniqueCount="139">
  <si>
    <t>m</t>
  </si>
  <si>
    <t>ACNET Log to Linear conversion coefficients</t>
  </si>
  <si>
    <t>d1 =</t>
  </si>
  <si>
    <t>d2 =</t>
  </si>
  <si>
    <t>Rad/Sec</t>
  </si>
  <si>
    <t>Volts</t>
  </si>
  <si>
    <t>compute</t>
  </si>
  <si>
    <t>Qsum</t>
  </si>
  <si>
    <t>c1 =</t>
  </si>
  <si>
    <t>c2 =</t>
  </si>
  <si>
    <t>Rads</t>
  </si>
  <si>
    <t>Log Integrator Conversions</t>
  </si>
  <si>
    <t>Bits=V*3276.8</t>
  </si>
  <si>
    <t>Bits</t>
  </si>
  <si>
    <t>S(k), Bits</t>
  </si>
  <si>
    <t>S(k) = (1/G1)*Qsum</t>
  </si>
  <si>
    <t>G1 =</t>
  </si>
  <si>
    <t>from column 'C'</t>
  </si>
  <si>
    <t>equivalent Log</t>
  </si>
  <si>
    <t>m =</t>
  </si>
  <si>
    <t>b =</t>
  </si>
  <si>
    <t>New Integrator Conversions (Equivalent)</t>
  </si>
  <si>
    <t>Y=m*LN(S)+b</t>
  </si>
  <si>
    <t>RS=d1_*EXP(d2_*Y/3276.8)</t>
  </si>
  <si>
    <t>New Integrator Conversions (To Rads)</t>
  </si>
  <si>
    <t>S(k) = (G1)*Qsum</t>
  </si>
  <si>
    <t>Copied</t>
  </si>
  <si>
    <t>H1 = 1/(G1_*70e-9) =</t>
  </si>
  <si>
    <t>Rads=S*H1</t>
  </si>
  <si>
    <t>N =</t>
  </si>
  <si>
    <t>D =</t>
  </si>
  <si>
    <t>=S*N (Hex)</t>
  </si>
  <si>
    <t>%error</t>
  </si>
  <si>
    <t>=S*N/D (Hex)</t>
  </si>
  <si>
    <t>Log Integ. Calibration Coefficients</t>
  </si>
  <si>
    <t>New Integrator Gain Term</t>
  </si>
  <si>
    <t>Coefficients for Equivalent Match</t>
  </si>
  <si>
    <t>Conversion to Rads (70nC/Rad)</t>
  </si>
  <si>
    <t>Numerator/Denominator for Integer Math</t>
  </si>
  <si>
    <t>Q=EXP((V/c1)-(c2/c1))</t>
  </si>
  <si>
    <t>V=c1*LN(Q)+c2</t>
  </si>
  <si>
    <t>RS=d1*EXP(d2*V)</t>
  </si>
  <si>
    <t>RS=d1*EXP(d2*Y/3276.8)</t>
  </si>
  <si>
    <t>channel</t>
  </si>
  <si>
    <t>C1</t>
  </si>
  <si>
    <t>C2</t>
  </si>
  <si>
    <t>L10</t>
  </si>
  <si>
    <t>S10</t>
  </si>
  <si>
    <t>L11</t>
  </si>
  <si>
    <t>S11</t>
  </si>
  <si>
    <t>L08</t>
  </si>
  <si>
    <t>S08</t>
  </si>
  <si>
    <t>L09</t>
  </si>
  <si>
    <t>S09</t>
  </si>
  <si>
    <t>L06</t>
  </si>
  <si>
    <t>S06</t>
  </si>
  <si>
    <t>L07</t>
  </si>
  <si>
    <t>S07</t>
  </si>
  <si>
    <t>L16</t>
  </si>
  <si>
    <t>S16</t>
  </si>
  <si>
    <t>L17</t>
  </si>
  <si>
    <t>S17</t>
  </si>
  <si>
    <t>L14</t>
  </si>
  <si>
    <t>S14</t>
  </si>
  <si>
    <t>L15</t>
  </si>
  <si>
    <t>S15</t>
  </si>
  <si>
    <t>L12</t>
  </si>
  <si>
    <t>S12</t>
  </si>
  <si>
    <t>L13</t>
  </si>
  <si>
    <t>S13</t>
  </si>
  <si>
    <t>L22</t>
  </si>
  <si>
    <t>S22</t>
  </si>
  <si>
    <t>L23</t>
  </si>
  <si>
    <t>S23</t>
  </si>
  <si>
    <t>L20</t>
  </si>
  <si>
    <t>S20</t>
  </si>
  <si>
    <t>L21</t>
  </si>
  <si>
    <t>S21</t>
  </si>
  <si>
    <t>L18</t>
  </si>
  <si>
    <t>S18</t>
  </si>
  <si>
    <t>L19</t>
  </si>
  <si>
    <t>S19</t>
  </si>
  <si>
    <t>L04</t>
  </si>
  <si>
    <t>S04</t>
  </si>
  <si>
    <t>L05</t>
  </si>
  <si>
    <t>S05</t>
  </si>
  <si>
    <t>L02</t>
  </si>
  <si>
    <t>S02</t>
  </si>
  <si>
    <t>L03</t>
  </si>
  <si>
    <t>L24</t>
  </si>
  <si>
    <t>S24</t>
  </si>
  <si>
    <t>L01</t>
  </si>
  <si>
    <t>S01</t>
  </si>
  <si>
    <t>rms</t>
  </si>
  <si>
    <t>S03</t>
  </si>
  <si>
    <t>choose</t>
  </si>
  <si>
    <t>=S*N/D/4000</t>
  </si>
  <si>
    <t>Channel</t>
  </si>
  <si>
    <t>C A L I B R A T I O N    D A T A</t>
  </si>
  <si>
    <t>=S*N/D (Dec.)</t>
  </si>
  <si>
    <t>ACNET Log to Linear</t>
  </si>
  <si>
    <t xml:space="preserve"> conversion coefficients</t>
  </si>
  <si>
    <t>Rads/Sec</t>
  </si>
  <si>
    <t>Linear Fit Rads/Sec = f(Rads)</t>
  </si>
  <si>
    <t>m selected</t>
  </si>
  <si>
    <t>Period</t>
  </si>
  <si>
    <t>func(Rads)</t>
  </si>
  <si>
    <t>data column&gt;</t>
  </si>
  <si>
    <t>Choose Period</t>
  </si>
  <si>
    <t>L</t>
  </si>
  <si>
    <t>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</si>
  <si>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</si>
  <si>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</si>
  <si>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</si>
  <si>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</si>
  <si>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</si>
  <si>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</si>
  <si>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</si>
  <si>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</si>
  <si>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</si>
  <si>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Max Limit</t>
  </si>
  <si>
    <t>061</t>
  </si>
  <si>
    <t>062</t>
  </si>
  <si>
    <t>071</t>
  </si>
  <si>
    <t>072</t>
  </si>
  <si>
    <t>scale fact.</t>
  </si>
  <si>
    <t>025</t>
  </si>
  <si>
    <t>026</t>
  </si>
  <si>
    <t>024</t>
  </si>
  <si>
    <t>023</t>
  </si>
  <si>
    <t>021</t>
  </si>
  <si>
    <t>126</t>
  </si>
  <si>
    <t>125</t>
  </si>
  <si>
    <t>124</t>
  </si>
  <si>
    <t>123</t>
  </si>
  <si>
    <t>122</t>
  </si>
  <si>
    <t>121</t>
  </si>
  <si>
    <t>Expected</t>
  </si>
  <si>
    <t>Rad</t>
  </si>
</sst>
</file>

<file path=xl/styles.xml><?xml version="1.0" encoding="utf-8"?>
<styleSheet xmlns="http://schemas.openxmlformats.org/spreadsheetml/2006/main">
  <numFmts count="5">
    <numFmt numFmtId="164" formatCode="0.000000E+00"/>
    <numFmt numFmtId="165" formatCode="0.0000"/>
    <numFmt numFmtId="166" formatCode="0.000000"/>
    <numFmt numFmtId="167" formatCode="0.0000E+00"/>
    <numFmt numFmtId="168" formatCode="0.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quotePrefix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1" fontId="0" fillId="0" borderId="0" xfId="0" applyNumberFormat="1"/>
    <xf numFmtId="0" fontId="0" fillId="3" borderId="0" xfId="0" applyFill="1"/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165" fontId="0" fillId="0" borderId="0" xfId="0" applyNumberFormat="1"/>
    <xf numFmtId="165" fontId="0" fillId="2" borderId="0" xfId="0" applyNumberFormat="1" applyFill="1"/>
    <xf numFmtId="165" fontId="0" fillId="0" borderId="0" xfId="0" quotePrefix="1" applyNumberFormat="1"/>
    <xf numFmtId="165" fontId="0" fillId="4" borderId="0" xfId="0" applyNumberFormat="1" applyFill="1"/>
    <xf numFmtId="0" fontId="0" fillId="0" borderId="3" xfId="0" applyBorder="1"/>
    <xf numFmtId="0" fontId="0" fillId="0" borderId="4" xfId="0" applyBorder="1"/>
    <xf numFmtId="0" fontId="2" fillId="3" borderId="0" xfId="0" applyFont="1" applyFill="1" applyAlignment="1">
      <alignment horizontal="center" vertical="center"/>
    </xf>
    <xf numFmtId="165" fontId="0" fillId="3" borderId="0" xfId="0" applyNumberFormat="1" applyFill="1"/>
    <xf numFmtId="0" fontId="0" fillId="0" borderId="0" xfId="0" applyFill="1" applyBorder="1"/>
    <xf numFmtId="0" fontId="3" fillId="0" borderId="0" xfId="0" applyFont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6" borderId="0" xfId="0" applyFill="1"/>
    <xf numFmtId="1" fontId="0" fillId="6" borderId="0" xfId="0" applyNumberFormat="1" applyFill="1"/>
    <xf numFmtId="165" fontId="0" fillId="6" borderId="0" xfId="0" applyNumberFormat="1" applyFill="1"/>
    <xf numFmtId="0" fontId="3" fillId="6" borderId="0" xfId="0" applyFont="1" applyFill="1" applyAlignment="1">
      <alignment horizontal="right"/>
    </xf>
    <xf numFmtId="0" fontId="0" fillId="0" borderId="0" xfId="0" applyFill="1"/>
    <xf numFmtId="1" fontId="0" fillId="0" borderId="0" xfId="0" applyNumberFormat="1" applyFill="1"/>
    <xf numFmtId="165" fontId="0" fillId="0" borderId="0" xfId="0" applyNumberFormat="1" applyFill="1"/>
    <xf numFmtId="0" fontId="3" fillId="0" borderId="0" xfId="0" applyFont="1" applyFill="1" applyAlignment="1">
      <alignment horizontal="right"/>
    </xf>
    <xf numFmtId="0" fontId="0" fillId="7" borderId="0" xfId="0" applyFill="1"/>
    <xf numFmtId="1" fontId="0" fillId="7" borderId="0" xfId="0" applyNumberFormat="1" applyFill="1"/>
    <xf numFmtId="165" fontId="0" fillId="7" borderId="0" xfId="0" applyNumberFormat="1" applyFill="1"/>
    <xf numFmtId="0" fontId="3" fillId="7" borderId="0" xfId="0" applyFont="1" applyFill="1" applyAlignment="1">
      <alignment horizontal="right"/>
    </xf>
    <xf numFmtId="165" fontId="0" fillId="8" borderId="0" xfId="0" applyNumberFormat="1" applyFill="1"/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 applyFill="1" applyAlignment="1">
      <alignment horizontal="center"/>
    </xf>
    <xf numFmtId="165" fontId="1" fillId="8" borderId="0" xfId="0" applyNumberFormat="1" applyFont="1" applyFill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165" fontId="0" fillId="5" borderId="2" xfId="0" applyNumberFormat="1" applyFill="1" applyBorder="1"/>
    <xf numFmtId="165" fontId="0" fillId="5" borderId="4" xfId="0" applyNumberFormat="1" applyFill="1" applyBorder="1"/>
    <xf numFmtId="0" fontId="0" fillId="0" borderId="1" xfId="0" applyBorder="1" applyAlignment="1">
      <alignment horizontal="righ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9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5" borderId="5" xfId="0" applyNumberFormat="1" applyFill="1" applyBorder="1"/>
    <xf numFmtId="165" fontId="0" fillId="5" borderId="6" xfId="0" applyNumberFormat="1" applyFill="1" applyBorder="1"/>
    <xf numFmtId="165" fontId="0" fillId="0" borderId="1" xfId="0" applyNumberFormat="1" applyBorder="1" applyAlignment="1">
      <alignment horizontal="right"/>
    </xf>
    <xf numFmtId="0" fontId="0" fillId="17" borderId="0" xfId="0" applyFill="1"/>
    <xf numFmtId="1" fontId="0" fillId="17" borderId="0" xfId="0" applyNumberFormat="1" applyFill="1"/>
    <xf numFmtId="165" fontId="0" fillId="17" borderId="0" xfId="0" applyNumberFormat="1" applyFill="1"/>
    <xf numFmtId="0" fontId="3" fillId="17" borderId="0" xfId="0" applyFont="1" applyFill="1" applyAlignment="1">
      <alignment horizontal="right"/>
    </xf>
    <xf numFmtId="167" fontId="0" fillId="0" borderId="0" xfId="0" applyNumberFormat="1"/>
    <xf numFmtId="0" fontId="2" fillId="18" borderId="0" xfId="0" applyFont="1" applyFill="1" applyBorder="1"/>
    <xf numFmtId="0" fontId="5" fillId="18" borderId="0" xfId="0" applyFont="1" applyFill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5" fontId="6" fillId="8" borderId="0" xfId="0" quotePrefix="1" applyNumberFormat="1" applyFont="1" applyFill="1"/>
    <xf numFmtId="0" fontId="0" fillId="0" borderId="0" xfId="0" applyBorder="1"/>
    <xf numFmtId="166" fontId="0" fillId="0" borderId="0" xfId="0" applyNumberFormat="1" applyBorder="1" applyAlignment="1">
      <alignment horizontal="center"/>
    </xf>
    <xf numFmtId="167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1" xfId="0" applyNumberFormat="1" applyBorder="1"/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7" fontId="0" fillId="0" borderId="5" xfId="0" applyNumberFormat="1" applyBorder="1"/>
    <xf numFmtId="1" fontId="0" fillId="0" borderId="5" xfId="0" applyNumberFormat="1" applyBorder="1"/>
    <xf numFmtId="1" fontId="0" fillId="0" borderId="2" xfId="0" applyNumberFormat="1" applyBorder="1"/>
    <xf numFmtId="0" fontId="0" fillId="0" borderId="8" xfId="0" applyBorder="1" applyAlignment="1">
      <alignment horizontal="left"/>
    </xf>
    <xf numFmtId="0" fontId="0" fillId="0" borderId="9" xfId="0" applyBorder="1"/>
    <xf numFmtId="166" fontId="0" fillId="0" borderId="0" xfId="0" applyNumberFormat="1" applyBorder="1"/>
    <xf numFmtId="166" fontId="0" fillId="0" borderId="9" xfId="0" applyNumberFormat="1" applyBorder="1"/>
    <xf numFmtId="167" fontId="0" fillId="0" borderId="6" xfId="0" applyNumberFormat="1" applyBorder="1"/>
    <xf numFmtId="165" fontId="0" fillId="0" borderId="6" xfId="0" applyNumberFormat="1" applyBorder="1"/>
    <xf numFmtId="167" fontId="1" fillId="16" borderId="1" xfId="0" applyNumberFormat="1" applyFont="1" applyFill="1" applyBorder="1"/>
    <xf numFmtId="167" fontId="1" fillId="16" borderId="2" xfId="0" applyNumberFormat="1" applyFont="1" applyFill="1" applyBorder="1"/>
    <xf numFmtId="0" fontId="1" fillId="16" borderId="1" xfId="0" applyFont="1" applyFill="1" applyBorder="1" applyAlignment="1">
      <alignment horizontal="center"/>
    </xf>
    <xf numFmtId="167" fontId="1" fillId="16" borderId="5" xfId="0" applyNumberFormat="1" applyFont="1" applyFill="1" applyBorder="1"/>
    <xf numFmtId="16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19" borderId="0" xfId="0" applyFont="1" applyFill="1" applyBorder="1"/>
    <xf numFmtId="168" fontId="0" fillId="0" borderId="0" xfId="0" applyNumberFormat="1"/>
    <xf numFmtId="0" fontId="1" fillId="19" borderId="5" xfId="0" applyFont="1" applyFill="1" applyBorder="1"/>
    <xf numFmtId="165" fontId="1" fillId="19" borderId="5" xfId="0" applyNumberFormat="1" applyFont="1" applyFill="1" applyBorder="1"/>
    <xf numFmtId="165" fontId="1" fillId="19" borderId="0" xfId="0" applyNumberFormat="1" applyFont="1" applyFill="1" applyBorder="1"/>
    <xf numFmtId="165" fontId="1" fillId="19" borderId="6" xfId="0" applyNumberFormat="1" applyFont="1" applyFill="1" applyBorder="1" applyAlignment="1">
      <alignment horizontal="center"/>
    </xf>
    <xf numFmtId="1" fontId="0" fillId="0" borderId="11" xfId="0" applyNumberFormat="1" applyBorder="1"/>
    <xf numFmtId="0" fontId="1" fillId="19" borderId="1" xfId="0" applyFont="1" applyFill="1" applyBorder="1"/>
    <xf numFmtId="168" fontId="1" fillId="19" borderId="2" xfId="0" applyNumberFormat="1" applyFont="1" applyFill="1" applyBorder="1"/>
    <xf numFmtId="0" fontId="1" fillId="19" borderId="8" xfId="0" applyFont="1" applyFill="1" applyBorder="1"/>
    <xf numFmtId="168" fontId="1" fillId="19" borderId="9" xfId="0" applyNumberFormat="1" applyFont="1" applyFill="1" applyBorder="1"/>
    <xf numFmtId="0" fontId="1" fillId="19" borderId="3" xfId="0" applyFont="1" applyFill="1" applyBorder="1"/>
    <xf numFmtId="0" fontId="1" fillId="19" borderId="6" xfId="0" applyFont="1" applyFill="1" applyBorder="1"/>
    <xf numFmtId="168" fontId="1" fillId="19" borderId="4" xfId="0" applyNumberFormat="1" applyFont="1" applyFill="1" applyBorder="1"/>
    <xf numFmtId="168" fontId="0" fillId="0" borderId="0" xfId="0" applyNumberFormat="1" applyFill="1"/>
    <xf numFmtId="0" fontId="1" fillId="19" borderId="5" xfId="0" applyFont="1" applyFill="1" applyBorder="1" applyAlignment="1">
      <alignment horizontal="left"/>
    </xf>
    <xf numFmtId="0" fontId="1" fillId="19" borderId="0" xfId="0" applyFont="1" applyFill="1" applyBorder="1" applyAlignment="1">
      <alignment horizontal="left"/>
    </xf>
    <xf numFmtId="0" fontId="1" fillId="19" borderId="6" xfId="0" applyFont="1" applyFill="1" applyBorder="1" applyAlignment="1">
      <alignment horizontal="left"/>
    </xf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Compare Rad/Sec to m*Rads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931666646691995"/>
          <c:y val="7.6469441319835033E-2"/>
          <c:w val="0.74836774980592213"/>
          <c:h val="0.81065745353259444"/>
        </c:manualLayout>
      </c:layout>
      <c:scatterChart>
        <c:scatterStyle val="smoothMarker"/>
        <c:ser>
          <c:idx val="0"/>
          <c:order val="0"/>
          <c:tx>
            <c:v>RADS/SEC</c:v>
          </c:tx>
          <c:xVal>
            <c:numRef>
              <c:f>COMPARISON!$M$6:$AF$6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COMPARISON!$M$7:$AF$7</c:f>
              <c:numCache>
                <c:formatCode>0.000000</c:formatCode>
                <c:ptCount val="20"/>
                <c:pt idx="0">
                  <c:v>2.5412118927079489E-4</c:v>
                </c:pt>
                <c:pt idx="1">
                  <c:v>6.7864558974393171E-4</c:v>
                </c:pt>
                <c:pt idx="2">
                  <c:v>1.026180313821999E-3</c:v>
                </c:pt>
                <c:pt idx="3">
                  <c:v>2.291992568489918E-3</c:v>
                </c:pt>
                <c:pt idx="4">
                  <c:v>5.1192074757772602E-3</c:v>
                </c:pt>
                <c:pt idx="5">
                  <c:v>9.7940235312643734E-3</c:v>
                </c:pt>
                <c:pt idx="6">
                  <c:v>1.4809547564709256E-2</c:v>
                </c:pt>
                <c:pt idx="7">
                  <c:v>3.3077396344303074E-2</c:v>
                </c:pt>
                <c:pt idx="8">
                  <c:v>7.387897193600719E-2</c:v>
                </c:pt>
                <c:pt idx="9">
                  <c:v>0.14134461106150292</c:v>
                </c:pt>
                <c:pt idx="10">
                  <c:v>0.21372725252789124</c:v>
                </c:pt>
                <c:pt idx="11">
                  <c:v>0.47736374190731923</c:v>
                </c:pt>
                <c:pt idx="12">
                  <c:v>1.066200680505258</c:v>
                </c:pt>
                <c:pt idx="13">
                  <c:v>2.0398459338343451</c:v>
                </c:pt>
                <c:pt idx="14">
                  <c:v>3.0844519910907842</c:v>
                </c:pt>
                <c:pt idx="15">
                  <c:v>6.8891801433157474</c:v>
                </c:pt>
                <c:pt idx="16">
                  <c:v>15.387110314617592</c:v>
                </c:pt>
                <c:pt idx="17">
                  <c:v>29.438486565079959</c:v>
                </c:pt>
                <c:pt idx="18">
                  <c:v>44.513949310710082</c:v>
                </c:pt>
                <c:pt idx="19">
                  <c:v>76.760203925392503</c:v>
                </c:pt>
              </c:numCache>
            </c:numRef>
          </c:yVal>
          <c:smooth val="1"/>
        </c:ser>
        <c:ser>
          <c:idx val="1"/>
          <c:order val="1"/>
          <c:tx>
            <c:v>FIT_RADS/SEC</c:v>
          </c:tx>
          <c:xVal>
            <c:numRef>
              <c:f>COMPARISON!$M$6:$AF$6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COMPARISON!$M$8:$AF$8</c:f>
              <c:numCache>
                <c:formatCode>0.0000</c:formatCode>
                <c:ptCount val="20"/>
                <c:pt idx="0">
                  <c:v>1.3778316713353364E-3</c:v>
                </c:pt>
                <c:pt idx="1">
                  <c:v>3.2149405664491188E-3</c:v>
                </c:pt>
                <c:pt idx="2">
                  <c:v>4.5927722377844555E-3</c:v>
                </c:pt>
                <c:pt idx="3">
                  <c:v>9.185544475568911E-3</c:v>
                </c:pt>
                <c:pt idx="4">
                  <c:v>1.8371088951137822E-2</c:v>
                </c:pt>
                <c:pt idx="5">
                  <c:v>3.214940566449119E-2</c:v>
                </c:pt>
                <c:pt idx="6">
                  <c:v>4.5927722377844551E-2</c:v>
                </c:pt>
                <c:pt idx="7">
                  <c:v>9.1855444755689103E-2</c:v>
                </c:pt>
                <c:pt idx="8">
                  <c:v>0.18371088951137821</c:v>
                </c:pt>
                <c:pt idx="9">
                  <c:v>0.32149405664491193</c:v>
                </c:pt>
                <c:pt idx="10">
                  <c:v>0.45927722377844554</c:v>
                </c:pt>
                <c:pt idx="11">
                  <c:v>0.91855444755689108</c:v>
                </c:pt>
                <c:pt idx="12">
                  <c:v>1.8371088951137822</c:v>
                </c:pt>
                <c:pt idx="13">
                  <c:v>3.2149405664491186</c:v>
                </c:pt>
                <c:pt idx="14">
                  <c:v>4.5927722377844553</c:v>
                </c:pt>
                <c:pt idx="15">
                  <c:v>9.1855444755689106</c:v>
                </c:pt>
                <c:pt idx="16">
                  <c:v>18.371088951137821</c:v>
                </c:pt>
                <c:pt idx="17">
                  <c:v>32.149405664491184</c:v>
                </c:pt>
                <c:pt idx="18">
                  <c:v>45.927722377844553</c:v>
                </c:pt>
                <c:pt idx="19">
                  <c:v>73.484355804551285</c:v>
                </c:pt>
              </c:numCache>
            </c:numRef>
          </c:yVal>
          <c:smooth val="1"/>
        </c:ser>
        <c:axId val="44018304"/>
        <c:axId val="64226432"/>
      </c:scatterChart>
      <c:valAx>
        <c:axId val="44018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aseline="0"/>
                  <a:t>Rads</a:t>
                </a:r>
              </a:p>
            </c:rich>
          </c:tx>
          <c:layout/>
        </c:title>
        <c:numFmt formatCode="General" sourceLinked="1"/>
        <c:tickLblPos val="nextTo"/>
        <c:crossAx val="64226432"/>
        <c:crosses val="autoZero"/>
        <c:crossBetween val="midCat"/>
      </c:valAx>
      <c:valAx>
        <c:axId val="64226432"/>
        <c:scaling>
          <c:orientation val="minMax"/>
          <c:max val="14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aseline="0"/>
                  <a:t>Rads/Sec</a:t>
                </a:r>
              </a:p>
            </c:rich>
          </c:tx>
          <c:layout/>
        </c:title>
        <c:numFmt formatCode="0.000000" sourceLinked="1"/>
        <c:tickLblPos val="nextTo"/>
        <c:crossAx val="44018304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COMPARISON!$L$12</c:f>
              <c:strCache>
                <c:ptCount val="1"/>
                <c:pt idx="0">
                  <c:v>21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COMPARISON!$M$12:$AF$12</c:f>
              <c:numCache>
                <c:formatCode>0.0000</c:formatCode>
                <c:ptCount val="20"/>
                <c:pt idx="0">
                  <c:v>1.4377747140277133E-4</c:v>
                </c:pt>
                <c:pt idx="1">
                  <c:v>3.6903054495837498E-4</c:v>
                </c:pt>
                <c:pt idx="2">
                  <c:v>5.487690482232823E-4</c:v>
                </c:pt>
                <c:pt idx="3">
                  <c:v>1.1865424197625614E-3</c:v>
                </c:pt>
                <c:pt idx="4">
                  <c:v>2.5655290116201345E-3</c:v>
                </c:pt>
                <c:pt idx="5">
                  <c:v>4.7813988819711325E-3</c:v>
                </c:pt>
                <c:pt idx="6">
                  <c:v>7.1102074055445401E-3</c:v>
                </c:pt>
                <c:pt idx="7">
                  <c:v>1.5373612501111477E-2</c:v>
                </c:pt>
                <c:pt idx="8">
                  <c:v>3.3240656404766457E-2</c:v>
                </c:pt>
                <c:pt idx="9">
                  <c:v>6.1950902386937942E-2</c:v>
                </c:pt>
                <c:pt idx="10">
                  <c:v>9.2124454747473772E-2</c:v>
                </c:pt>
                <c:pt idx="11">
                  <c:v>0.19919048606928577</c:v>
                </c:pt>
                <c:pt idx="12">
                  <c:v>0.43068748519899447</c:v>
                </c:pt>
                <c:pt idx="13">
                  <c:v>0.80267603713784841</c:v>
                </c:pt>
                <c:pt idx="14">
                  <c:v>1.1936241347757748</c:v>
                </c:pt>
                <c:pt idx="15">
                  <c:v>2.5808410181829187</c:v>
                </c:pt>
                <c:pt idx="16">
                  <c:v>5.5802661550460977</c:v>
                </c:pt>
                <c:pt idx="17">
                  <c:v>10.399990892322567</c:v>
                </c:pt>
                <c:pt idx="18">
                  <c:v>15.465367789960071</c:v>
                </c:pt>
                <c:pt idx="19">
                  <c:v>26.088087073576563</c:v>
                </c:pt>
              </c:numCache>
            </c:numRef>
          </c:yVal>
        </c:ser>
        <c:ser>
          <c:idx val="1"/>
          <c:order val="1"/>
          <c:tx>
            <c:strRef>
              <c:f>COMPARISON!$L$13</c:f>
              <c:strCache>
                <c:ptCount val="1"/>
                <c:pt idx="0">
                  <c:v>23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COMPARISON!$M$13:$AF$13</c:f>
              <c:numCache>
                <c:formatCode>0.0000</c:formatCode>
                <c:ptCount val="20"/>
                <c:pt idx="0">
                  <c:v>1.0268197026972412E-4</c:v>
                </c:pt>
                <c:pt idx="1">
                  <c:v>2.6891709186640443E-4</c:v>
                </c:pt>
                <c:pt idx="2">
                  <c:v>4.0330185184529483E-4</c:v>
                </c:pt>
                <c:pt idx="3">
                  <c:v>8.8651117069748434E-4</c:v>
                </c:pt>
                <c:pt idx="4">
                  <c:v>1.9486695936940469E-3</c:v>
                </c:pt>
                <c:pt idx="5">
                  <c:v>3.6804183394146235E-3</c:v>
                </c:pt>
                <c:pt idx="6">
                  <c:v>5.5196176693324446E-3</c:v>
                </c:pt>
                <c:pt idx="7">
                  <c:v>1.2132854583864993E-2</c:v>
                </c:pt>
                <c:pt idx="8">
                  <c:v>2.6669629885980456E-2</c:v>
                </c:pt>
                <c:pt idx="9">
                  <c:v>5.037046570408682E-2</c:v>
                </c:pt>
                <c:pt idx="10">
                  <c:v>7.5541877817346725E-2</c:v>
                </c:pt>
                <c:pt idx="11">
                  <c:v>0.16605110597466732</c:v>
                </c:pt>
                <c:pt idx="12">
                  <c:v>0.36500244092527034</c:v>
                </c:pt>
                <c:pt idx="13">
                  <c:v>0.68937375625895059</c:v>
                </c:pt>
                <c:pt idx="14">
                  <c:v>1.0338714827799129</c:v>
                </c:pt>
                <c:pt idx="15">
                  <c:v>2.2725871809325322</c:v>
                </c:pt>
                <c:pt idx="16">
                  <c:v>4.9954492226170473</c:v>
                </c:pt>
                <c:pt idx="17">
                  <c:v>9.4348179866047381</c:v>
                </c:pt>
                <c:pt idx="18">
                  <c:v>14.149638237614546</c:v>
                </c:pt>
                <c:pt idx="19">
                  <c:v>24.136958366088873</c:v>
                </c:pt>
              </c:numCache>
            </c:numRef>
          </c:yVal>
        </c:ser>
        <c:ser>
          <c:idx val="2"/>
          <c:order val="2"/>
          <c:tx>
            <c:strRef>
              <c:f>COMPARISON!$L$14</c:f>
              <c:strCache>
                <c:ptCount val="1"/>
                <c:pt idx="0">
                  <c:v>24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COMPARISON!$M$14:$AF$14</c:f>
              <c:numCache>
                <c:formatCode>0.0000</c:formatCode>
                <c:ptCount val="20"/>
                <c:pt idx="0">
                  <c:v>2.1729896600347276E-4</c:v>
                </c:pt>
                <c:pt idx="1">
                  <c:v>5.5833925365778199E-4</c:v>
                </c:pt>
                <c:pt idx="2">
                  <c:v>8.3065923116978121E-4</c:v>
                </c:pt>
                <c:pt idx="3">
                  <c:v>1.7976297801860963E-3</c:v>
                </c:pt>
                <c:pt idx="4">
                  <c:v>3.890250905971612E-3</c:v>
                </c:pt>
                <c:pt idx="5">
                  <c:v>7.2554681178807921E-3</c:v>
                </c:pt>
                <c:pt idx="6">
                  <c:v>1.0794192830063333E-2</c:v>
                </c:pt>
                <c:pt idx="7">
                  <c:v>2.3359714496963245E-2</c:v>
                </c:pt>
                <c:pt idx="8">
                  <c:v>5.0552762024025762E-2</c:v>
                </c:pt>
                <c:pt idx="9">
                  <c:v>9.428285270060939E-2</c:v>
                </c:pt>
                <c:pt idx="10">
                  <c:v>0.14026762657956349</c:v>
                </c:pt>
                <c:pt idx="11">
                  <c:v>0.30355319398588554</c:v>
                </c:pt>
                <c:pt idx="12">
                  <c:v>0.65691951753931943</c:v>
                </c:pt>
                <c:pt idx="13">
                  <c:v>1.2251802597626491</c:v>
                </c:pt>
                <c:pt idx="14">
                  <c:v>1.8227400025193463</c:v>
                </c:pt>
                <c:pt idx="15">
                  <c:v>3.9445919422949713</c:v>
                </c:pt>
                <c:pt idx="16">
                  <c:v>8.5364920777028566</c:v>
                </c:pt>
                <c:pt idx="17">
                  <c:v>15.920887265456752</c:v>
                </c:pt>
                <c:pt idx="18">
                  <c:v>23.686015068485304</c:v>
                </c:pt>
                <c:pt idx="19">
                  <c:v>39.979205422584812</c:v>
                </c:pt>
              </c:numCache>
            </c:numRef>
          </c:yVal>
        </c:ser>
        <c:ser>
          <c:idx val="3"/>
          <c:order val="3"/>
          <c:tx>
            <c:strRef>
              <c:f>COMPARISON!$L$15</c:f>
              <c:strCache>
                <c:ptCount val="1"/>
                <c:pt idx="0">
                  <c:v>25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COMPARISON!$M$15:$AF$15</c:f>
              <c:numCache>
                <c:formatCode>0.0000</c:formatCode>
                <c:ptCount val="20"/>
                <c:pt idx="0">
                  <c:v>2.529745898744602E-4</c:v>
                </c:pt>
                <c:pt idx="1">
                  <c:v>6.5202720175811446E-4</c:v>
                </c:pt>
                <c:pt idx="2">
                  <c:v>9.7131037604250526E-4</c:v>
                </c:pt>
                <c:pt idx="3">
                  <c:v>2.1073583733798736E-3</c:v>
                </c:pt>
                <c:pt idx="4">
                  <c:v>4.5721320634383158E-3</c:v>
                </c:pt>
                <c:pt idx="5">
                  <c:v>8.5447057732858517E-3</c:v>
                </c:pt>
                <c:pt idx="6">
                  <c:v>1.2728857562144782E-2</c:v>
                </c:pt>
                <c:pt idx="7">
                  <c:v>2.7616573681049281E-2</c:v>
                </c:pt>
                <c:pt idx="8">
                  <c:v>5.9917014402690642E-2</c:v>
                </c:pt>
                <c:pt idx="9">
                  <c:v>0.11197691837879856</c:v>
                </c:pt>
                <c:pt idx="10">
                  <c:v>0.16680951715713935</c:v>
                </c:pt>
                <c:pt idx="11">
                  <c:v>0.36191050915445949</c:v>
                </c:pt>
                <c:pt idx="12">
                  <c:v>0.78520230061605834</c:v>
                </c:pt>
                <c:pt idx="13">
                  <c:v>1.4674385031271053</c:v>
                </c:pt>
                <c:pt idx="14">
                  <c:v>2.1860104002538283</c:v>
                </c:pt>
                <c:pt idx="15">
                  <c:v>4.7427757747630785</c:v>
                </c:pt>
                <c:pt idx="16">
                  <c:v>10.289942832416333</c:v>
                </c:pt>
                <c:pt idx="17">
                  <c:v>19.23053243147324</c:v>
                </c:pt>
                <c:pt idx="18">
                  <c:v>28.647295139139374</c:v>
                </c:pt>
                <c:pt idx="19">
                  <c:v>48.436605554164643</c:v>
                </c:pt>
              </c:numCache>
            </c:numRef>
          </c:yVal>
        </c:ser>
        <c:ser>
          <c:idx val="4"/>
          <c:order val="4"/>
          <c:tx>
            <c:strRef>
              <c:f>COMPARISON!$L$16</c:f>
              <c:strCache>
                <c:ptCount val="1"/>
                <c:pt idx="0">
                  <c:v>26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COMPARISON!$M$16:$AF$16</c:f>
              <c:numCache>
                <c:formatCode>0.0000</c:formatCode>
                <c:ptCount val="20"/>
                <c:pt idx="0">
                  <c:v>3.2175890270670431E-4</c:v>
                </c:pt>
                <c:pt idx="1">
                  <c:v>8.2012935315619586E-4</c:v>
                </c:pt>
                <c:pt idx="2">
                  <c:v>1.2160137729438534E-3</c:v>
                </c:pt>
                <c:pt idx="3">
                  <c:v>2.6143386528273481E-3</c:v>
                </c:pt>
                <c:pt idx="4">
                  <c:v>5.6206325485284765E-3</c:v>
                </c:pt>
                <c:pt idx="5">
                  <c:v>1.0427226848319241E-2</c:v>
                </c:pt>
                <c:pt idx="6">
                  <c:v>1.5460550719675678E-2</c:v>
                </c:pt>
                <c:pt idx="7">
                  <c:v>3.3239027583211483E-2</c:v>
                </c:pt>
                <c:pt idx="8">
                  <c:v>7.1461422992613419E-2</c:v>
                </c:pt>
                <c:pt idx="9">
                  <c:v>0.1325730621979124</c:v>
                </c:pt>
                <c:pt idx="10">
                  <c:v>0.1965673694443425</c:v>
                </c:pt>
                <c:pt idx="11">
                  <c:v>0.42260514087669626</c:v>
                </c:pt>
                <c:pt idx="12">
                  <c:v>0.90856944161315101</c:v>
                </c:pt>
                <c:pt idx="13">
                  <c:v>1.6855504417614764</c:v>
                </c:pt>
                <c:pt idx="14">
                  <c:v>2.4991820427907325</c:v>
                </c:pt>
                <c:pt idx="15">
                  <c:v>5.3730544507751441</c:v>
                </c:pt>
                <c:pt idx="16">
                  <c:v>11.551665159516343</c:v>
                </c:pt>
                <c:pt idx="17">
                  <c:v>21.430298468032433</c:v>
                </c:pt>
                <c:pt idx="18">
                  <c:v>31.774912085681482</c:v>
                </c:pt>
                <c:pt idx="19">
                  <c:v>53.393856739053575</c:v>
                </c:pt>
              </c:numCache>
            </c:numRef>
          </c:yVal>
        </c:ser>
        <c:ser>
          <c:idx val="5"/>
          <c:order val="5"/>
          <c:tx>
            <c:strRef>
              <c:f>COMPARISON!$L$17</c:f>
              <c:strCache>
                <c:ptCount val="1"/>
                <c:pt idx="0">
                  <c:v>61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COMPARISON!$M$17:$AF$17</c:f>
              <c:numCache>
                <c:formatCode>0.0000</c:formatCode>
                <c:ptCount val="20"/>
                <c:pt idx="0">
                  <c:v>4.4334781222611744E-4</c:v>
                </c:pt>
                <c:pt idx="1">
                  <c:v>1.1779628178040366E-3</c:v>
                </c:pt>
                <c:pt idx="2">
                  <c:v>1.7773778116544432E-3</c:v>
                </c:pt>
                <c:pt idx="3">
                  <c:v>3.9532760918637132E-3</c:v>
                </c:pt>
                <c:pt idx="4">
                  <c:v>8.7929486663017673E-3</c:v>
                </c:pt>
                <c:pt idx="5">
                  <c:v>1.6766017448038628E-2</c:v>
                </c:pt>
                <c:pt idx="6">
                  <c:v>2.5297528030220569E-2</c:v>
                </c:pt>
                <c:pt idx="7">
                  <c:v>5.6267222471980904E-2</c:v>
                </c:pt>
                <c:pt idx="8">
                  <c:v>0.12515058075750649</c:v>
                </c:pt>
                <c:pt idx="9">
                  <c:v>0.23863176054398932</c:v>
                </c:pt>
                <c:pt idx="10">
                  <c:v>0.36006127692349765</c:v>
                </c:pt>
                <c:pt idx="11">
                  <c:v>0.8008548482680895</c:v>
                </c:pt>
                <c:pt idx="12">
                  <c:v>1.7812759357923789</c:v>
                </c:pt>
                <c:pt idx="13">
                  <c:v>3.3964605677411934</c:v>
                </c:pt>
                <c:pt idx="14">
                  <c:v>5.1247743647089532</c:v>
                </c:pt>
                <c:pt idx="15">
                  <c:v>11.398616455857296</c:v>
                </c:pt>
                <c:pt idx="16">
                  <c:v>25.353010271530266</c:v>
                </c:pt>
                <c:pt idx="17">
                  <c:v>48.342032770169517</c:v>
                </c:pt>
                <c:pt idx="18">
                  <c:v>72.941229652857359</c:v>
                </c:pt>
                <c:pt idx="19">
                  <c:v>125.42505954109927</c:v>
                </c:pt>
              </c:numCache>
            </c:numRef>
          </c:yVal>
        </c:ser>
        <c:ser>
          <c:idx val="6"/>
          <c:order val="6"/>
          <c:tx>
            <c:strRef>
              <c:f>COMPARISON!$L$18</c:f>
              <c:strCache>
                <c:ptCount val="1"/>
                <c:pt idx="0">
                  <c:v>62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COMPARISON!$M$18:$AF$18</c:f>
              <c:numCache>
                <c:formatCode>0.0000</c:formatCode>
                <c:ptCount val="20"/>
                <c:pt idx="0">
                  <c:v>3.6500369754645276E-4</c:v>
                </c:pt>
                <c:pt idx="1">
                  <c:v>9.6554895395762166E-4</c:v>
                </c:pt>
                <c:pt idx="2">
                  <c:v>1.4541809567982674E-3</c:v>
                </c:pt>
                <c:pt idx="3">
                  <c:v>3.2227999813130479E-3</c:v>
                </c:pt>
                <c:pt idx="4">
                  <c:v>7.1424671537576243E-3</c:v>
                </c:pt>
                <c:pt idx="5">
                  <c:v>1.3579448802044829E-2</c:v>
                </c:pt>
                <c:pt idx="6">
                  <c:v>2.0451553254561768E-2</c:v>
                </c:pt>
                <c:pt idx="7">
                  <c:v>4.5325353174576283E-2</c:v>
                </c:pt>
                <c:pt idx="8">
                  <c:v>0.10045142365613895</c:v>
                </c:pt>
                <c:pt idx="9">
                  <c:v>0.19098092231525615</c:v>
                </c:pt>
                <c:pt idx="10">
                  <c:v>0.28762997381363647</c:v>
                </c:pt>
                <c:pt idx="11">
                  <c:v>0.63745427960535617</c:v>
                </c:pt>
                <c:pt idx="12">
                  <c:v>1.4127455257860735</c:v>
                </c:pt>
                <c:pt idx="13">
                  <c:v>2.6859494240218074</c:v>
                </c:pt>
                <c:pt idx="14">
                  <c:v>4.0452185125635971</c:v>
                </c:pt>
                <c:pt idx="15">
                  <c:v>8.9651360690358413</c:v>
                </c:pt>
                <c:pt idx="16">
                  <c:v>19.868806712592612</c:v>
                </c:pt>
                <c:pt idx="17">
                  <c:v>37.775104554654064</c:v>
                </c:pt>
                <c:pt idx="18">
                  <c:v>56.891820408778997</c:v>
                </c:pt>
                <c:pt idx="19">
                  <c:v>97.589160871358089</c:v>
                </c:pt>
              </c:numCache>
            </c:numRef>
          </c:yVal>
        </c:ser>
        <c:ser>
          <c:idx val="7"/>
          <c:order val="7"/>
          <c:tx>
            <c:strRef>
              <c:f>COMPARISON!$L$19</c:f>
              <c:strCache>
                <c:ptCount val="1"/>
                <c:pt idx="0">
                  <c:v>71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COMPARISON!$M$19:$AF$19</c:f>
              <c:numCache>
                <c:formatCode>0.0000</c:formatCode>
                <c:ptCount val="20"/>
                <c:pt idx="0">
                  <c:v>2.7079620249477471E-4</c:v>
                </c:pt>
                <c:pt idx="1">
                  <c:v>7.5026093039064397E-4</c:v>
                </c:pt>
                <c:pt idx="2">
                  <c:v>1.1521648901171766E-3</c:v>
                </c:pt>
                <c:pt idx="3">
                  <c:v>2.6519586727784001E-3</c:v>
                </c:pt>
                <c:pt idx="4">
                  <c:v>6.1040610267244994E-3</c:v>
                </c:pt>
                <c:pt idx="5">
                  <c:v>1.1965295374367175E-2</c:v>
                </c:pt>
                <c:pt idx="6">
                  <c:v>1.8374931536218088E-2</c:v>
                </c:pt>
                <c:pt idx="7">
                  <c:v>4.2293910765000692E-2</c:v>
                </c:pt>
                <c:pt idx="8">
                  <c:v>9.7348655926802918E-2</c:v>
                </c:pt>
                <c:pt idx="9">
                  <c:v>0.1908246685873779</c:v>
                </c:pt>
                <c:pt idx="10">
                  <c:v>0.29304669136928929</c:v>
                </c:pt>
                <c:pt idx="11">
                  <c:v>0.67451084594911437</c:v>
                </c:pt>
                <c:pt idx="12">
                  <c:v>1.5525337589621633</c:v>
                </c:pt>
                <c:pt idx="13">
                  <c:v>3.0433059111512875</c:v>
                </c:pt>
                <c:pt idx="14">
                  <c:v>4.6735609954910977</c:v>
                </c:pt>
                <c:pt idx="15">
                  <c:v>10.757219492681278</c:v>
                </c:pt>
                <c:pt idx="16">
                  <c:v>24.760085794400204</c:v>
                </c:pt>
                <c:pt idx="17">
                  <c:v>48.535186448430402</c:v>
                </c:pt>
                <c:pt idx="18">
                  <c:v>74.534785827186695</c:v>
                </c:pt>
                <c:pt idx="19">
                  <c:v>131.17660155447231</c:v>
                </c:pt>
              </c:numCache>
            </c:numRef>
          </c:yVal>
        </c:ser>
        <c:ser>
          <c:idx val="8"/>
          <c:order val="8"/>
          <c:tx>
            <c:strRef>
              <c:f>COMPARISON!$L$20</c:f>
              <c:strCache>
                <c:ptCount val="1"/>
                <c:pt idx="0">
                  <c:v>72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COMPARISON!$M$20:$AF$20</c:f>
              <c:numCache>
                <c:formatCode>0.0000</c:formatCode>
                <c:ptCount val="20"/>
                <c:pt idx="0">
                  <c:v>2.8379429235444819E-4</c:v>
                </c:pt>
                <c:pt idx="1">
                  <c:v>7.7302079500090031E-4</c:v>
                </c:pt>
                <c:pt idx="2">
                  <c:v>1.1786527812786805E-3</c:v>
                </c:pt>
                <c:pt idx="3">
                  <c:v>2.6754622389507693E-3</c:v>
                </c:pt>
                <c:pt idx="4">
                  <c:v>6.0731186535579532E-3</c:v>
                </c:pt>
                <c:pt idx="5">
                  <c:v>1.1771737415687288E-2</c:v>
                </c:pt>
                <c:pt idx="6">
                  <c:v>1.7948794049539214E-2</c:v>
                </c:pt>
                <c:pt idx="7">
                  <c:v>4.0742550712984119E-2</c:v>
                </c:pt>
                <c:pt idx="8">
                  <c:v>9.248283946088906E-2</c:v>
                </c:pt>
                <c:pt idx="9">
                  <c:v>0.17926270894657059</c:v>
                </c:pt>
                <c:pt idx="10">
                  <c:v>0.27332833973655363</c:v>
                </c:pt>
                <c:pt idx="11">
                  <c:v>0.62043687794714097</c:v>
                </c:pt>
                <c:pt idx="12">
                  <c:v>1.4083498252973699</c:v>
                </c:pt>
                <c:pt idx="13">
                  <c:v>2.72985351984142</c:v>
                </c:pt>
                <c:pt idx="14">
                  <c:v>4.1623064533998093</c:v>
                </c:pt>
                <c:pt idx="15">
                  <c:v>9.4481546388336337</c:v>
                </c:pt>
                <c:pt idx="16">
                  <c:v>21.446673155552709</c:v>
                </c:pt>
                <c:pt idx="17">
                  <c:v>41.570833574827333</c:v>
                </c:pt>
                <c:pt idx="18">
                  <c:v>63.384554374098443</c:v>
                </c:pt>
                <c:pt idx="19">
                  <c:v>110.50598858846799</c:v>
                </c:pt>
              </c:numCache>
            </c:numRef>
          </c:yVal>
        </c:ser>
        <c:axId val="64348544"/>
        <c:axId val="64350464"/>
      </c:scatterChart>
      <c:valAx>
        <c:axId val="64348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Rads, Qsum/70E-9</a:t>
                </a:r>
              </a:p>
            </c:rich>
          </c:tx>
          <c:layout/>
        </c:title>
        <c:numFmt formatCode="General" sourceLinked="1"/>
        <c:tickLblPos val="nextTo"/>
        <c:crossAx val="64350464"/>
        <c:crosses val="autoZero"/>
        <c:crossBetween val="midCat"/>
      </c:valAx>
      <c:valAx>
        <c:axId val="64350464"/>
        <c:scaling>
          <c:orientation val="minMax"/>
          <c:max val="14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Rads/Sec, based on C1, C2, Q sum</a:t>
                </a:r>
              </a:p>
            </c:rich>
          </c:tx>
          <c:layout/>
        </c:title>
        <c:numFmt formatCode="0.0000" sourceLinked="1"/>
        <c:tickLblPos val="nextTo"/>
        <c:crossAx val="643485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COMPARISON!$L$21</c:f>
              <c:strCache>
                <c:ptCount val="1"/>
                <c:pt idx="0">
                  <c:v>L01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COMPARISON!$M$21:$AF$21</c:f>
              <c:numCache>
                <c:formatCode>0.0000</c:formatCode>
                <c:ptCount val="20"/>
                <c:pt idx="0">
                  <c:v>3.3866497475311581E-4</c:v>
                </c:pt>
                <c:pt idx="1">
                  <c:v>8.7470995663828431E-4</c:v>
                </c:pt>
                <c:pt idx="2">
                  <c:v>1.3041794036471612E-3</c:v>
                </c:pt>
                <c:pt idx="3">
                  <c:v>2.834379742616396E-3</c:v>
                </c:pt>
                <c:pt idx="4">
                  <c:v>6.1599719355234245E-3</c:v>
                </c:pt>
                <c:pt idx="5">
                  <c:v>1.1528021784892342E-2</c:v>
                </c:pt>
                <c:pt idx="6">
                  <c:v>1.7188107283509106E-2</c:v>
                </c:pt>
                <c:pt idx="7">
                  <c:v>3.7355001131022192E-2</c:v>
                </c:pt>
                <c:pt idx="8">
                  <c:v>8.1183814278228433E-2</c:v>
                </c:pt>
                <c:pt idx="9">
                  <c:v>0.15193068886937186</c:v>
                </c:pt>
                <c:pt idx="10">
                  <c:v>0.22652637448746665</c:v>
                </c:pt>
                <c:pt idx="11">
                  <c:v>0.49231092380394625</c:v>
                </c:pt>
                <c:pt idx="12">
                  <c:v>1.0699418389804454</c:v>
                </c:pt>
                <c:pt idx="13">
                  <c:v>2.002332633563586</c:v>
                </c:pt>
                <c:pt idx="14">
                  <c:v>2.985447873464746</c:v>
                </c:pt>
                <c:pt idx="15">
                  <c:v>6.4882890739738999</c:v>
                </c:pt>
                <c:pt idx="16">
                  <c:v>14.101031701683205</c:v>
                </c:pt>
                <c:pt idx="17">
                  <c:v>26.389243708891893</c:v>
                </c:pt>
                <c:pt idx="18">
                  <c:v>39.345965896206486</c:v>
                </c:pt>
                <c:pt idx="19">
                  <c:v>66.602768991278097</c:v>
                </c:pt>
              </c:numCache>
            </c:numRef>
          </c:yVal>
        </c:ser>
        <c:ser>
          <c:idx val="1"/>
          <c:order val="1"/>
          <c:tx>
            <c:strRef>
              <c:f>COMPARISON!$L$22</c:f>
              <c:strCache>
                <c:ptCount val="1"/>
                <c:pt idx="0">
                  <c:v>L02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COMPARISON!$M$22:$AF$22</c:f>
              <c:numCache>
                <c:formatCode>0.0000</c:formatCode>
                <c:ptCount val="20"/>
                <c:pt idx="0">
                  <c:v>3.2301092960933031E-4</c:v>
                </c:pt>
                <c:pt idx="1">
                  <c:v>8.5022143139435184E-4</c:v>
                </c:pt>
                <c:pt idx="2">
                  <c:v>1.277809201801913E-3</c:v>
                </c:pt>
                <c:pt idx="3">
                  <c:v>2.8204089324710985E-3</c:v>
                </c:pt>
                <c:pt idx="4">
                  <c:v>6.22526941827105E-3</c:v>
                </c:pt>
                <c:pt idx="5">
                  <c:v>1.1796793271284143E-2</c:v>
                </c:pt>
                <c:pt idx="6">
                  <c:v>1.7729558956283403E-2</c:v>
                </c:pt>
                <c:pt idx="7">
                  <c:v>3.9133077441107993E-2</c:v>
                </c:pt>
                <c:pt idx="8">
                  <c:v>8.6375400188340834E-2</c:v>
                </c:pt>
                <c:pt idx="9">
                  <c:v>0.16368010302585248</c:v>
                </c:pt>
                <c:pt idx="10">
                  <c:v>0.24599702392271283</c:v>
                </c:pt>
                <c:pt idx="11">
                  <c:v>0.54297011060379219</c:v>
                </c:pt>
                <c:pt idx="12">
                  <c:v>1.1984557223819039</c:v>
                </c:pt>
                <c:pt idx="13">
                  <c:v>2.2710558293641641</c:v>
                </c:pt>
                <c:pt idx="14">
                  <c:v>3.4132002904327994</c:v>
                </c:pt>
                <c:pt idx="15">
                  <c:v>7.5336917075527321</c:v>
                </c:pt>
                <c:pt idx="16">
                  <c:v>16.628532144315518</c:v>
                </c:pt>
                <c:pt idx="17">
                  <c:v>31.510821930960578</c:v>
                </c:pt>
                <c:pt idx="18">
                  <c:v>47.358037251177173</c:v>
                </c:pt>
                <c:pt idx="19">
                  <c:v>81.011384550032204</c:v>
                </c:pt>
              </c:numCache>
            </c:numRef>
          </c:yVal>
        </c:ser>
        <c:ser>
          <c:idx val="2"/>
          <c:order val="2"/>
          <c:tx>
            <c:strRef>
              <c:f>COMPARISON!$L$23</c:f>
              <c:strCache>
                <c:ptCount val="1"/>
                <c:pt idx="0">
                  <c:v>L03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COMPARISON!$M$23:$AF$23</c:f>
              <c:numCache>
                <c:formatCode>0.0000</c:formatCode>
                <c:ptCount val="20"/>
                <c:pt idx="0">
                  <c:v>3.2448083891184281E-4</c:v>
                </c:pt>
                <c:pt idx="1">
                  <c:v>8.4365169927760821E-4</c:v>
                </c:pt>
                <c:pt idx="2">
                  <c:v>1.2613887401981708E-3</c:v>
                </c:pt>
                <c:pt idx="3">
                  <c:v>2.7562966941215555E-3</c:v>
                </c:pt>
                <c:pt idx="4">
                  <c:v>6.0228629160205506E-3</c:v>
                </c:pt>
                <c:pt idx="5">
                  <c:v>1.1320912060920308E-2</c:v>
                </c:pt>
                <c:pt idx="6">
                  <c:v>1.692650060996281E-2</c:v>
                </c:pt>
                <c:pt idx="7">
                  <c:v>3.698658168373798E-2</c:v>
                </c:pt>
                <c:pt idx="8">
                  <c:v>8.082043986354881E-2</c:v>
                </c:pt>
                <c:pt idx="9">
                  <c:v>0.15191464676813046</c:v>
                </c:pt>
                <c:pt idx="10">
                  <c:v>0.22713570667679936</c:v>
                </c:pt>
                <c:pt idx="11">
                  <c:v>0.49632074354165495</c:v>
                </c:pt>
                <c:pt idx="12">
                  <c:v>1.0845246838281553</c:v>
                </c:pt>
                <c:pt idx="13">
                  <c:v>2.0385336250734776</c:v>
                </c:pt>
                <c:pt idx="14">
                  <c:v>3.0479205617494016</c:v>
                </c:pt>
                <c:pt idx="15">
                  <c:v>6.6600985886199959</c:v>
                </c:pt>
                <c:pt idx="16">
                  <c:v>14.553172338808817</c:v>
                </c:pt>
                <c:pt idx="17">
                  <c:v>27.354961677250081</c:v>
                </c:pt>
                <c:pt idx="18">
                  <c:v>40.899865048314908</c:v>
                </c:pt>
                <c:pt idx="19">
                  <c:v>69.488302215300422</c:v>
                </c:pt>
              </c:numCache>
            </c:numRef>
          </c:yVal>
        </c:ser>
        <c:ser>
          <c:idx val="3"/>
          <c:order val="3"/>
          <c:tx>
            <c:strRef>
              <c:f>COMPARISON!$L$24</c:f>
              <c:strCache>
                <c:ptCount val="1"/>
                <c:pt idx="0">
                  <c:v>L04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COMPARISON!$M$24:$AF$24</c:f>
              <c:numCache>
                <c:formatCode>0.0000</c:formatCode>
                <c:ptCount val="20"/>
                <c:pt idx="0">
                  <c:v>3.4568552634034217E-4</c:v>
                </c:pt>
                <c:pt idx="1">
                  <c:v>9.1441848337353007E-4</c:v>
                </c:pt>
                <c:pt idx="2">
                  <c:v>1.3771574010339415E-3</c:v>
                </c:pt>
                <c:pt idx="3">
                  <c:v>3.0520219554791192E-3</c:v>
                </c:pt>
                <c:pt idx="4">
                  <c:v>6.7638150945804974E-3</c:v>
                </c:pt>
                <c:pt idx="5">
                  <c:v>1.2859286610548182E-2</c:v>
                </c:pt>
                <c:pt idx="6">
                  <c:v>1.9366692657391448E-2</c:v>
                </c:pt>
                <c:pt idx="7">
                  <c:v>4.291998224095385E-2</c:v>
                </c:pt>
                <c:pt idx="8">
                  <c:v>9.5118196387587117E-2</c:v>
                </c:pt>
                <c:pt idx="9">
                  <c:v>0.18083760897107343</c:v>
                </c:pt>
                <c:pt idx="10">
                  <c:v>0.27234997553966089</c:v>
                </c:pt>
                <c:pt idx="11">
                  <c:v>0.60357523714950134</c:v>
                </c:pt>
                <c:pt idx="12">
                  <c:v>1.33762841791415</c:v>
                </c:pt>
                <c:pt idx="13">
                  <c:v>2.54308359466456</c:v>
                </c:pt>
                <c:pt idx="14">
                  <c:v>3.8300039396837935</c:v>
                </c:pt>
                <c:pt idx="15">
                  <c:v>8.4879594044300593</c:v>
                </c:pt>
                <c:pt idx="16">
                  <c:v>18.81080437144422</c:v>
                </c:pt>
                <c:pt idx="17">
                  <c:v>35.762882545557943</c:v>
                </c:pt>
                <c:pt idx="18">
                  <c:v>53.860589298482118</c:v>
                </c:pt>
                <c:pt idx="19">
                  <c:v>92.387988804512617</c:v>
                </c:pt>
              </c:numCache>
            </c:numRef>
          </c:yVal>
        </c:ser>
        <c:ser>
          <c:idx val="4"/>
          <c:order val="4"/>
          <c:tx>
            <c:strRef>
              <c:f>COMPARISON!$L$25</c:f>
              <c:strCache>
                <c:ptCount val="1"/>
                <c:pt idx="0">
                  <c:v>L05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COMPARISON!$M$25:$AF$25</c:f>
              <c:numCache>
                <c:formatCode>0.0000</c:formatCode>
                <c:ptCount val="20"/>
                <c:pt idx="0">
                  <c:v>3.0596486095870883E-4</c:v>
                </c:pt>
                <c:pt idx="1">
                  <c:v>8.0923277386918543E-4</c:v>
                </c:pt>
                <c:pt idx="2">
                  <c:v>1.2186696499231452E-3</c:v>
                </c:pt>
                <c:pt idx="3">
                  <c:v>2.7004705137504345E-3</c:v>
                </c:pt>
                <c:pt idx="4">
                  <c:v>5.9840178969710646E-3</c:v>
                </c:pt>
                <c:pt idx="5">
                  <c:v>1.1375674523614722E-2</c:v>
                </c:pt>
                <c:pt idx="6">
                  <c:v>1.7131275125016457E-2</c:v>
                </c:pt>
                <c:pt idx="7">
                  <c:v>3.7961479832513058E-2</c:v>
                </c:pt>
                <c:pt idx="8">
                  <c:v>8.4119479756059143E-2</c:v>
                </c:pt>
                <c:pt idx="9">
                  <c:v>0.15991192527767828</c:v>
                </c:pt>
                <c:pt idx="10">
                  <c:v>0.24082046141668886</c:v>
                </c:pt>
                <c:pt idx="11">
                  <c:v>0.53363809889296687</c:v>
                </c:pt>
                <c:pt idx="12">
                  <c:v>1.1824976121832329</c:v>
                </c:pt>
                <c:pt idx="13">
                  <c:v>2.2479391259770396</c:v>
                </c:pt>
                <c:pt idx="14">
                  <c:v>3.3852993553444826</c:v>
                </c:pt>
                <c:pt idx="15">
                  <c:v>7.5015416112994124</c:v>
                </c:pt>
                <c:pt idx="16">
                  <c:v>16.622791853611457</c:v>
                </c:pt>
                <c:pt idx="17">
                  <c:v>31.600084267159929</c:v>
                </c:pt>
                <c:pt idx="18">
                  <c:v>47.588363787187568</c:v>
                </c:pt>
                <c:pt idx="19">
                  <c:v>81.622680892979375</c:v>
                </c:pt>
              </c:numCache>
            </c:numRef>
          </c:yVal>
        </c:ser>
        <c:ser>
          <c:idx val="5"/>
          <c:order val="5"/>
          <c:tx>
            <c:strRef>
              <c:f>COMPARISON!$L$26</c:f>
              <c:strCache>
                <c:ptCount val="1"/>
                <c:pt idx="0">
                  <c:v>L06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COMPARISON!$M$26:$AF$26</c:f>
              <c:numCache>
                <c:formatCode>0.0000</c:formatCode>
                <c:ptCount val="20"/>
                <c:pt idx="0">
                  <c:v>6.0506846677592057E-5</c:v>
                </c:pt>
                <c:pt idx="1">
                  <c:v>1.5737576238659593E-4</c:v>
                </c:pt>
                <c:pt idx="2">
                  <c:v>2.3533722405484292E-4</c:v>
                </c:pt>
                <c:pt idx="3">
                  <c:v>5.1439634594435939E-4</c:v>
                </c:pt>
                <c:pt idx="4">
                  <c:v>1.1243593179260411E-3</c:v>
                </c:pt>
                <c:pt idx="5">
                  <c:v>2.1139207756300307E-3</c:v>
                </c:pt>
                <c:pt idx="6">
                  <c:v>3.1611236677383395E-3</c:v>
                </c:pt>
                <c:pt idx="7">
                  <c:v>6.9095336290016778E-3</c:v>
                </c:pt>
                <c:pt idx="8">
                  <c:v>1.5102748259280338E-2</c:v>
                </c:pt>
                <c:pt idx="9">
                  <c:v>2.8394849231376262E-2</c:v>
                </c:pt>
                <c:pt idx="10">
                  <c:v>4.2461208093483756E-2</c:v>
                </c:pt>
                <c:pt idx="11">
                  <c:v>9.2811030534553959E-2</c:v>
                </c:pt>
                <c:pt idx="12">
                  <c:v>0.20286486832690445</c:v>
                </c:pt>
                <c:pt idx="13">
                  <c:v>0.38140855237694044</c:v>
                </c:pt>
                <c:pt idx="14">
                  <c:v>0.57035231210934378</c:v>
                </c:pt>
                <c:pt idx="15">
                  <c:v>1.2466669751385928</c:v>
                </c:pt>
                <c:pt idx="16">
                  <c:v>2.7249447646724843</c:v>
                </c:pt>
                <c:pt idx="17">
                  <c:v>5.1231997268549163</c:v>
                </c:pt>
                <c:pt idx="18">
                  <c:v>7.6611517791081285</c:v>
                </c:pt>
                <c:pt idx="19">
                  <c:v>13.01883732715102</c:v>
                </c:pt>
              </c:numCache>
            </c:numRef>
          </c:yVal>
        </c:ser>
        <c:ser>
          <c:idx val="6"/>
          <c:order val="6"/>
          <c:tx>
            <c:strRef>
              <c:f>COMPARISON!$L$27</c:f>
              <c:strCache>
                <c:ptCount val="1"/>
                <c:pt idx="0">
                  <c:v>L07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COMPARISON!$M$27:$AF$27</c:f>
              <c:numCache>
                <c:formatCode>0.0000</c:formatCode>
                <c:ptCount val="20"/>
                <c:pt idx="0">
                  <c:v>1.1904301594819867E-4</c:v>
                </c:pt>
                <c:pt idx="1">
                  <c:v>3.0760424562406986E-4</c:v>
                </c:pt>
                <c:pt idx="2">
                  <c:v>4.5871983368331223E-4</c:v>
                </c:pt>
                <c:pt idx="3">
                  <c:v>9.9730369205544198E-4</c:v>
                </c:pt>
                <c:pt idx="4">
                  <c:v>2.1682399171649388E-3</c:v>
                </c:pt>
                <c:pt idx="5">
                  <c:v>4.0589334421669487E-3</c:v>
                </c:pt>
                <c:pt idx="6">
                  <c:v>6.0529505038040025E-3</c:v>
                </c:pt>
                <c:pt idx="7">
                  <c:v>1.3159731587799853E-2</c:v>
                </c:pt>
                <c:pt idx="8">
                  <c:v>2.8610598311369487E-2</c:v>
                </c:pt>
                <c:pt idx="9">
                  <c:v>5.3558885881164441E-2</c:v>
                </c:pt>
                <c:pt idx="10">
                  <c:v>7.9870559568599092E-2</c:v>
                </c:pt>
                <c:pt idx="11">
                  <c:v>0.17364674054902554</c:v>
                </c:pt>
                <c:pt idx="12">
                  <c:v>0.37752571994193368</c:v>
                </c:pt>
                <c:pt idx="13">
                  <c:v>0.70672611357237636</c:v>
                </c:pt>
                <c:pt idx="14">
                  <c:v>1.0539168099577312</c:v>
                </c:pt>
                <c:pt idx="15">
                  <c:v>2.2913226080731821</c:v>
                </c:pt>
                <c:pt idx="16">
                  <c:v>4.981568985959945</c:v>
                </c:pt>
                <c:pt idx="17">
                  <c:v>9.325470300359008</c:v>
                </c:pt>
                <c:pt idx="18">
                  <c:v>13.906759240336763</c:v>
                </c:pt>
                <c:pt idx="19">
                  <c:v>23.546478552584432</c:v>
                </c:pt>
              </c:numCache>
            </c:numRef>
          </c:yVal>
        </c:ser>
        <c:ser>
          <c:idx val="7"/>
          <c:order val="7"/>
          <c:tx>
            <c:strRef>
              <c:f>COMPARISON!$L$28</c:f>
              <c:strCache>
                <c:ptCount val="1"/>
                <c:pt idx="0">
                  <c:v>L08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COMPARISON!$M$28:$AF$28</c:f>
              <c:numCache>
                <c:formatCode>0.0000</c:formatCode>
                <c:ptCount val="20"/>
                <c:pt idx="0">
                  <c:v>1.4021152513301932E-4</c:v>
                </c:pt>
                <c:pt idx="1">
                  <c:v>3.6134975538815623E-4</c:v>
                </c:pt>
                <c:pt idx="2">
                  <c:v>5.3827131442126105E-4</c:v>
                </c:pt>
                <c:pt idx="3">
                  <c:v>1.167736853435379E-3</c:v>
                </c:pt>
                <c:pt idx="4">
                  <c:v>2.5333123321596494E-3</c:v>
                </c:pt>
                <c:pt idx="5">
                  <c:v>4.7341010073911225E-3</c:v>
                </c:pt>
                <c:pt idx="6">
                  <c:v>7.0519786822995801E-3</c:v>
                </c:pt>
                <c:pt idx="7">
                  <c:v>1.5298707503697849E-2</c:v>
                </c:pt>
                <c:pt idx="8">
                  <c:v>3.3189330516719753E-2</c:v>
                </c:pt>
                <c:pt idx="9">
                  <c:v>6.2022215357825101E-2</c:v>
                </c:pt>
                <c:pt idx="10">
                  <c:v>9.2389101932872877E-2</c:v>
                </c:pt>
                <c:pt idx="11">
                  <c:v>0.20043081675049129</c:v>
                </c:pt>
                <c:pt idx="12">
                  <c:v>0.43481873362571499</c:v>
                </c:pt>
                <c:pt idx="13">
                  <c:v>0.81256297486823781</c:v>
                </c:pt>
                <c:pt idx="14">
                  <c:v>1.2104044184630767</c:v>
                </c:pt>
                <c:pt idx="15">
                  <c:v>2.6258762247437417</c:v>
                </c:pt>
                <c:pt idx="16">
                  <c:v>5.6966298556888511</c:v>
                </c:pt>
                <c:pt idx="17">
                  <c:v>10.645517647466841</c:v>
                </c:pt>
                <c:pt idx="18">
                  <c:v>15.857702105378326</c:v>
                </c:pt>
                <c:pt idx="19">
                  <c:v>26.810536394051901</c:v>
                </c:pt>
              </c:numCache>
            </c:numRef>
          </c:yVal>
        </c:ser>
        <c:ser>
          <c:idx val="8"/>
          <c:order val="8"/>
          <c:tx>
            <c:strRef>
              <c:f>COMPARISON!$L$29</c:f>
              <c:strCache>
                <c:ptCount val="1"/>
                <c:pt idx="0">
                  <c:v>L09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COMPARISON!$M$29:$AF$29</c:f>
              <c:numCache>
                <c:formatCode>0.0000</c:formatCode>
                <c:ptCount val="20"/>
                <c:pt idx="0">
                  <c:v>1.7036498663784968E-4</c:v>
                </c:pt>
                <c:pt idx="1">
                  <c:v>4.460435628844363E-4</c:v>
                </c:pt>
                <c:pt idx="2">
                  <c:v>6.6886043514836988E-4</c:v>
                </c:pt>
                <c:pt idx="3">
                  <c:v>1.4698918421573266E-3</c:v>
                </c:pt>
                <c:pt idx="4">
                  <c:v>3.2302434321165798E-3</c:v>
                </c:pt>
                <c:pt idx="5">
                  <c:v>6.0997237232563789E-3</c:v>
                </c:pt>
                <c:pt idx="6">
                  <c:v>9.1467834160385217E-3</c:v>
                </c:pt>
                <c:pt idx="7">
                  <c:v>2.0101027985356255E-2</c:v>
                </c:pt>
                <c:pt idx="8">
                  <c:v>4.4174143815364532E-2</c:v>
                </c:pt>
                <c:pt idx="9">
                  <c:v>8.3414788590271363E-2</c:v>
                </c:pt>
                <c:pt idx="10">
                  <c:v>0.1250838627364147</c:v>
                </c:pt>
                <c:pt idx="11">
                  <c:v>0.27488507281941238</c:v>
                </c:pt>
                <c:pt idx="12">
                  <c:v>0.60408914152389381</c:v>
                </c:pt>
                <c:pt idx="13">
                  <c:v>1.140711820935572</c:v>
                </c:pt>
                <c:pt idx="14">
                  <c:v>1.7105436966647369</c:v>
                </c:pt>
                <c:pt idx="15">
                  <c:v>3.7591014406815746</c:v>
                </c:pt>
                <c:pt idx="16">
                  <c:v>8.2610246489972337</c:v>
                </c:pt>
                <c:pt idx="17">
                  <c:v>15.599433630572133</c:v>
                </c:pt>
                <c:pt idx="18">
                  <c:v>23.391984179168265</c:v>
                </c:pt>
                <c:pt idx="19">
                  <c:v>39.896395739205516</c:v>
                </c:pt>
              </c:numCache>
            </c:numRef>
          </c:yVal>
        </c:ser>
        <c:ser>
          <c:idx val="9"/>
          <c:order val="9"/>
          <c:tx>
            <c:strRef>
              <c:f>COMPARISON!$L$30</c:f>
              <c:strCache>
                <c:ptCount val="1"/>
                <c:pt idx="0">
                  <c:v>L10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COMPARISON!$M$30:$AF$30</c:f>
              <c:numCache>
                <c:formatCode>0.0000</c:formatCode>
                <c:ptCount val="20"/>
                <c:pt idx="0">
                  <c:v>1.8491856890829532E-4</c:v>
                </c:pt>
                <c:pt idx="1">
                  <c:v>4.8337591413669844E-4</c:v>
                </c:pt>
                <c:pt idx="2">
                  <c:v>7.2435547391387384E-4</c:v>
                </c:pt>
                <c:pt idx="3">
                  <c:v>1.5897731133367873E-3</c:v>
                </c:pt>
                <c:pt idx="4">
                  <c:v>3.4891412336991016E-3</c:v>
                </c:pt>
                <c:pt idx="5">
                  <c:v>6.5816702323200265E-3</c:v>
                </c:pt>
                <c:pt idx="6">
                  <c:v>9.8628597761054124E-3</c:v>
                </c:pt>
                <c:pt idx="7">
                  <c:v>2.164642893901509E-2</c:v>
                </c:pt>
                <c:pt idx="8">
                  <c:v>4.750831872790319E-2</c:v>
                </c:pt>
                <c:pt idx="9">
                  <c:v>8.9616345746919679E-2</c:v>
                </c:pt>
                <c:pt idx="10">
                  <c:v>0.13429318403229673</c:v>
                </c:pt>
                <c:pt idx="11">
                  <c:v>0.29473884158749497</c:v>
                </c:pt>
                <c:pt idx="12">
                  <c:v>0.64687560553665835</c:v>
                </c:pt>
                <c:pt idx="13">
                  <c:v>1.2202205734334555</c:v>
                </c:pt>
                <c:pt idx="14">
                  <c:v>1.8285426019362785</c:v>
                </c:pt>
                <c:pt idx="15">
                  <c:v>4.0131785702427623</c:v>
                </c:pt>
                <c:pt idx="16">
                  <c:v>8.8078900757363883</c:v>
                </c:pt>
                <c:pt idx="17">
                  <c:v>16.61458337115295</c:v>
                </c:pt>
                <c:pt idx="18">
                  <c:v>24.897526044894306</c:v>
                </c:pt>
                <c:pt idx="19">
                  <c:v>42.426644861380588</c:v>
                </c:pt>
              </c:numCache>
            </c:numRef>
          </c:yVal>
        </c:ser>
        <c:ser>
          <c:idx val="10"/>
          <c:order val="10"/>
          <c:tx>
            <c:strRef>
              <c:f>COMPARISON!$L$31</c:f>
              <c:strCache>
                <c:ptCount val="1"/>
                <c:pt idx="0">
                  <c:v>L11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COMPARISON!$M$31:$AF$31</c:f>
              <c:numCache>
                <c:formatCode>0.0000</c:formatCode>
                <c:ptCount val="20"/>
                <c:pt idx="0">
                  <c:v>1.6691057537956998E-4</c:v>
                </c:pt>
                <c:pt idx="1">
                  <c:v>4.3464712419521284E-4</c:v>
                </c:pt>
                <c:pt idx="2">
                  <c:v>6.5029187964892141E-4</c:v>
                </c:pt>
                <c:pt idx="3">
                  <c:v>1.4227895657915168E-3</c:v>
                </c:pt>
                <c:pt idx="4">
                  <c:v>3.1129562153199885E-3</c:v>
                </c:pt>
                <c:pt idx="5">
                  <c:v>5.8573313947855327E-3</c:v>
                </c:pt>
                <c:pt idx="6">
                  <c:v>8.763373390527714E-3</c:v>
                </c:pt>
                <c:pt idx="7">
                  <c:v>1.9173599750175793E-2</c:v>
                </c:pt>
                <c:pt idx="8">
                  <c:v>4.1950389535758983E-2</c:v>
                </c:pt>
                <c:pt idx="9">
                  <c:v>7.8933758349063299E-2</c:v>
                </c:pt>
                <c:pt idx="10">
                  <c:v>0.1180957591278393</c:v>
                </c:pt>
                <c:pt idx="11">
                  <c:v>0.25838461021846476</c:v>
                </c:pt>
                <c:pt idx="12">
                  <c:v>0.56532603110224156</c:v>
                </c:pt>
                <c:pt idx="13">
                  <c:v>1.0637161852674168</c:v>
                </c:pt>
                <c:pt idx="14">
                  <c:v>1.5914657178770419</c:v>
                </c:pt>
                <c:pt idx="15">
                  <c:v>3.4820069088558006</c:v>
                </c:pt>
                <c:pt idx="16">
                  <c:v>7.618368386529248</c:v>
                </c:pt>
                <c:pt idx="17">
                  <c:v>14.334704776074888</c:v>
                </c:pt>
                <c:pt idx="18">
                  <c:v>21.446689956378084</c:v>
                </c:pt>
                <c:pt idx="19">
                  <c:v>36.469234756932849</c:v>
                </c:pt>
              </c:numCache>
            </c:numRef>
          </c:yVal>
        </c:ser>
        <c:ser>
          <c:idx val="11"/>
          <c:order val="11"/>
          <c:tx>
            <c:strRef>
              <c:f>COMPARISON!$L$32</c:f>
              <c:strCache>
                <c:ptCount val="1"/>
                <c:pt idx="0">
                  <c:v>L12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COMPARISON!$M$32:$AF$32</c:f>
              <c:numCache>
                <c:formatCode>0.0000</c:formatCode>
                <c:ptCount val="20"/>
                <c:pt idx="0">
                  <c:v>2.9911964998794382E-4</c:v>
                </c:pt>
                <c:pt idx="1">
                  <c:v>7.6610326251557955E-4</c:v>
                </c:pt>
                <c:pt idx="2">
                  <c:v>1.1382128734378737E-3</c:v>
                </c:pt>
                <c:pt idx="3">
                  <c:v>2.4567280419351273E-3</c:v>
                </c:pt>
                <c:pt idx="4">
                  <c:v>5.3026220427473143E-3</c:v>
                </c:pt>
                <c:pt idx="5">
                  <c:v>9.8685892045634691E-3</c:v>
                </c:pt>
                <c:pt idx="6">
                  <c:v>1.4661933743006009E-2</c:v>
                </c:pt>
                <c:pt idx="7">
                  <c:v>3.164643856701551E-2</c:v>
                </c:pt>
                <c:pt idx="8">
                  <c:v>6.8305933687199838E-2</c:v>
                </c:pt>
                <c:pt idx="9">
                  <c:v>0.12712261865148519</c:v>
                </c:pt>
                <c:pt idx="10">
                  <c:v>0.18886827420515198</c:v>
                </c:pt>
                <c:pt idx="11">
                  <c:v>0.40765483882661357</c:v>
                </c:pt>
                <c:pt idx="12">
                  <c:v>0.87988556213650138</c:v>
                </c:pt>
                <c:pt idx="13">
                  <c:v>1.6375349949046558</c:v>
                </c:pt>
                <c:pt idx="14">
                  <c:v>2.4329140771249489</c:v>
                </c:pt>
                <c:pt idx="15">
                  <c:v>5.2512217849360336</c:v>
                </c:pt>
                <c:pt idx="16">
                  <c:v>11.334280356983852</c:v>
                </c:pt>
                <c:pt idx="17">
                  <c:v>21.093971222296389</c:v>
                </c:pt>
                <c:pt idx="18">
                  <c:v>31.339678045892086</c:v>
                </c:pt>
                <c:pt idx="19">
                  <c:v>52.803307941940233</c:v>
                </c:pt>
              </c:numCache>
            </c:numRef>
          </c:yVal>
        </c:ser>
        <c:axId val="65149568"/>
        <c:axId val="65164032"/>
      </c:scatterChart>
      <c:valAx>
        <c:axId val="65149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Rads, Qsum/70E-9</a:t>
                </a:r>
                <a:endParaRPr lang="en-US" sz="1000" baseline="0"/>
              </a:p>
            </c:rich>
          </c:tx>
          <c:layout/>
        </c:title>
        <c:numFmt formatCode="General" sourceLinked="1"/>
        <c:tickLblPos val="nextTo"/>
        <c:crossAx val="65164032"/>
        <c:crosses val="autoZero"/>
        <c:crossBetween val="midCat"/>
      </c:valAx>
      <c:valAx>
        <c:axId val="65164032"/>
        <c:scaling>
          <c:orientation val="minMax"/>
          <c:max val="14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Rads/Sec, based on C1, C2, Q sum</a:t>
                </a:r>
                <a:endParaRPr lang="en-US"/>
              </a:p>
            </c:rich>
          </c:tx>
          <c:layout/>
        </c:title>
        <c:numFmt formatCode="0.0000" sourceLinked="1"/>
        <c:tickLblPos val="nextTo"/>
        <c:crossAx val="651495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COMPARISON!$L$33</c:f>
              <c:strCache>
                <c:ptCount val="1"/>
                <c:pt idx="0">
                  <c:v>L13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COMPARISON!$M$33:$AF$33</c:f>
              <c:numCache>
                <c:formatCode>0.0000</c:formatCode>
                <c:ptCount val="20"/>
                <c:pt idx="0">
                  <c:v>2.3297933637567495E-4</c:v>
                </c:pt>
                <c:pt idx="1">
                  <c:v>6.0883998933334129E-4</c:v>
                </c:pt>
                <c:pt idx="2">
                  <c:v>9.1226273584805594E-4</c:v>
                </c:pt>
                <c:pt idx="3">
                  <c:v>2.0017333190464519E-3</c:v>
                </c:pt>
                <c:pt idx="4">
                  <c:v>4.3923051146617523E-3</c:v>
                </c:pt>
                <c:pt idx="5">
                  <c:v>8.2838392260392787E-3</c:v>
                </c:pt>
                <c:pt idx="6">
                  <c:v>1.2412190342403031E-2</c:v>
                </c:pt>
                <c:pt idx="7">
                  <c:v>2.7235459692034371E-2</c:v>
                </c:pt>
                <c:pt idx="8">
                  <c:v>5.9761431638891811E-2</c:v>
                </c:pt>
                <c:pt idx="9">
                  <c:v>0.11270940398971858</c:v>
                </c:pt>
                <c:pt idx="10">
                  <c:v>0.1688794938585573</c:v>
                </c:pt>
                <c:pt idx="11">
                  <c:v>0.37056397951640224</c:v>
                </c:pt>
                <c:pt idx="12">
                  <c:v>0.8131103414487999</c:v>
                </c:pt>
                <c:pt idx="13">
                  <c:v>1.5335171773717995</c:v>
                </c:pt>
                <c:pt idx="14">
                  <c:v>2.2977639448929854</c:v>
                </c:pt>
                <c:pt idx="15">
                  <c:v>5.0418705785676217</c:v>
                </c:pt>
                <c:pt idx="16">
                  <c:v>11.063128998749148</c:v>
                </c:pt>
                <c:pt idx="17">
                  <c:v>20.864939836864803</c:v>
                </c:pt>
                <c:pt idx="18">
                  <c:v>31.263234071936093</c:v>
                </c:pt>
                <c:pt idx="19">
                  <c:v>53.266056121645711</c:v>
                </c:pt>
              </c:numCache>
            </c:numRef>
          </c:yVal>
        </c:ser>
        <c:ser>
          <c:idx val="1"/>
          <c:order val="1"/>
          <c:tx>
            <c:strRef>
              <c:f>COMPARISON!$L$34</c:f>
              <c:strCache>
                <c:ptCount val="1"/>
                <c:pt idx="0">
                  <c:v>L14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COMPARISON!$M$34:$AF$34</c:f>
              <c:numCache>
                <c:formatCode>0.0000</c:formatCode>
                <c:ptCount val="20"/>
                <c:pt idx="0">
                  <c:v>2.2523995487581239E-4</c:v>
                </c:pt>
                <c:pt idx="1">
                  <c:v>6.0206993295006583E-4</c:v>
                </c:pt>
                <c:pt idx="2">
                  <c:v>9.1074269858102579E-4</c:v>
                </c:pt>
                <c:pt idx="3">
                  <c:v>2.0356913182090824E-3</c:v>
                </c:pt>
                <c:pt idx="4">
                  <c:v>4.5501755320009104E-3</c:v>
                </c:pt>
                <c:pt idx="5">
                  <c:v>8.7106452174576191E-3</c:v>
                </c:pt>
                <c:pt idx="6">
                  <c:v>1.3176470203150378E-2</c:v>
                </c:pt>
                <c:pt idx="7">
                  <c:v>2.94520351785258E-2</c:v>
                </c:pt>
                <c:pt idx="8">
                  <c:v>6.5831164400139197E-2</c:v>
                </c:pt>
                <c:pt idx="9">
                  <c:v>0.12602413100524407</c:v>
                </c:pt>
                <c:pt idx="10">
                  <c:v>0.19063492607189181</c:v>
                </c:pt>
                <c:pt idx="11">
                  <c:v>0.42610702732683647</c:v>
                </c:pt>
                <c:pt idx="12">
                  <c:v>0.9524340711252518</c:v>
                </c:pt>
                <c:pt idx="13">
                  <c:v>1.8232956571111998</c:v>
                </c:pt>
                <c:pt idx="14">
                  <c:v>2.7580736326293844</c:v>
                </c:pt>
                <c:pt idx="15">
                  <c:v>6.1648438770607763</c:v>
                </c:pt>
                <c:pt idx="16">
                  <c:v>13.7796538783128</c:v>
                </c:pt>
                <c:pt idx="17">
                  <c:v>26.37913093883758</c:v>
                </c:pt>
                <c:pt idx="18">
                  <c:v>39.903339433911995</c:v>
                </c:pt>
                <c:pt idx="19">
                  <c:v>68.84473958916071</c:v>
                </c:pt>
              </c:numCache>
            </c:numRef>
          </c:yVal>
        </c:ser>
        <c:ser>
          <c:idx val="2"/>
          <c:order val="2"/>
          <c:tx>
            <c:strRef>
              <c:f>COMPARISON!$L$35</c:f>
              <c:strCache>
                <c:ptCount val="1"/>
                <c:pt idx="0">
                  <c:v>L15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COMPARISON!$M$35:$AF$35</c:f>
              <c:numCache>
                <c:formatCode>0.0000</c:formatCode>
                <c:ptCount val="20"/>
                <c:pt idx="0">
                  <c:v>1.9203367621049741E-4</c:v>
                </c:pt>
                <c:pt idx="1">
                  <c:v>5.1962311923509151E-4</c:v>
                </c:pt>
                <c:pt idx="2">
                  <c:v>7.9008226878466E-4</c:v>
                </c:pt>
                <c:pt idx="3">
                  <c:v>1.7837423513283408E-3</c:v>
                </c:pt>
                <c:pt idx="4">
                  <c:v>4.027095533755836E-3</c:v>
                </c:pt>
                <c:pt idx="5">
                  <c:v>7.7717875379847761E-3</c:v>
                </c:pt>
                <c:pt idx="6">
                  <c:v>1.1816932894676146E-2</c:v>
                </c:pt>
                <c:pt idx="7">
                  <c:v>2.6678694738286605E-2</c:v>
                </c:pt>
                <c:pt idx="8">
                  <c:v>6.0231598104390376E-2</c:v>
                </c:pt>
                <c:pt idx="9">
                  <c:v>0.11623940371338398</c:v>
                </c:pt>
                <c:pt idx="10">
                  <c:v>0.17674096553524554</c:v>
                </c:pt>
                <c:pt idx="11">
                  <c:v>0.39902217515250654</c:v>
                </c:pt>
                <c:pt idx="12">
                  <c:v>0.90085903843093629</c:v>
                </c:pt>
                <c:pt idx="13">
                  <c:v>1.7385445638606103</c:v>
                </c:pt>
                <c:pt idx="14">
                  <c:v>2.6434413376760708</c:v>
                </c:pt>
                <c:pt idx="15">
                  <c:v>5.9680092232901618</c:v>
                </c:pt>
                <c:pt idx="16">
                  <c:v>13.473775105820398</c:v>
                </c:pt>
                <c:pt idx="17">
                  <c:v>26.002690171932208</c:v>
                </c:pt>
                <c:pt idx="18">
                  <c:v>39.53685601169316</c:v>
                </c:pt>
                <c:pt idx="19">
                  <c:v>68.676619758781968</c:v>
                </c:pt>
              </c:numCache>
            </c:numRef>
          </c:yVal>
        </c:ser>
        <c:ser>
          <c:idx val="3"/>
          <c:order val="3"/>
          <c:tx>
            <c:strRef>
              <c:f>COMPARISON!$L$36</c:f>
              <c:strCache>
                <c:ptCount val="1"/>
                <c:pt idx="0">
                  <c:v>L16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COMPARISON!$M$36:$AF$36</c:f>
              <c:numCache>
                <c:formatCode>0.0000</c:formatCode>
                <c:ptCount val="20"/>
                <c:pt idx="0">
                  <c:v>3.5562921111939838E-4</c:v>
                </c:pt>
                <c:pt idx="1">
                  <c:v>8.9085334417455034E-4</c:v>
                </c:pt>
                <c:pt idx="2">
                  <c:v>1.3112547816592794E-3</c:v>
                </c:pt>
                <c:pt idx="3">
                  <c:v>2.7793276785217625E-3</c:v>
                </c:pt>
                <c:pt idx="4">
                  <c:v>5.8910460824572464E-3</c:v>
                </c:pt>
                <c:pt idx="5">
                  <c:v>1.0804237366704522E-2</c:v>
                </c:pt>
                <c:pt idx="6">
                  <c:v>1.5902850903478642E-2</c:v>
                </c:pt>
                <c:pt idx="7">
                  <c:v>3.3707586276644656E-2</c:v>
                </c:pt>
                <c:pt idx="8">
                  <c:v>7.1446395334619855E-2</c:v>
                </c:pt>
                <c:pt idx="9">
                  <c:v>0.1310334027923038</c:v>
                </c:pt>
                <c:pt idx="10">
                  <c:v>0.19286920466993193</c:v>
                </c:pt>
                <c:pt idx="11">
                  <c:v>0.40880439588963963</c:v>
                </c:pt>
                <c:pt idx="12">
                  <c:v>0.86649931690596638</c:v>
                </c:pt>
                <c:pt idx="13">
                  <c:v>1.5891684035230702</c:v>
                </c:pt>
                <c:pt idx="14">
                  <c:v>2.3391107881087727</c:v>
                </c:pt>
                <c:pt idx="15">
                  <c:v>4.9579650327703257</c:v>
                </c:pt>
                <c:pt idx="16">
                  <c:v>10.5088725985689</c:v>
                </c:pt>
                <c:pt idx="17">
                  <c:v>19.273377329283488</c:v>
                </c:pt>
                <c:pt idx="18">
                  <c:v>28.368651638349505</c:v>
                </c:pt>
                <c:pt idx="19">
                  <c:v>47.212985316630999</c:v>
                </c:pt>
              </c:numCache>
            </c:numRef>
          </c:yVal>
        </c:ser>
        <c:ser>
          <c:idx val="4"/>
          <c:order val="4"/>
          <c:tx>
            <c:strRef>
              <c:f>COMPARISON!$L$37</c:f>
              <c:strCache>
                <c:ptCount val="1"/>
                <c:pt idx="0">
                  <c:v>L17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COMPARISON!$M$37:$AF$37</c:f>
              <c:numCache>
                <c:formatCode>0.0000</c:formatCode>
                <c:ptCount val="20"/>
                <c:pt idx="0">
                  <c:v>3.0463879971900514E-4</c:v>
                </c:pt>
                <c:pt idx="1">
                  <c:v>7.8446558447995622E-4</c:v>
                </c:pt>
                <c:pt idx="2">
                  <c:v>1.1681477324507136E-3</c:v>
                </c:pt>
                <c:pt idx="3">
                  <c:v>2.5325078631016481E-3</c:v>
                </c:pt>
                <c:pt idx="4">
                  <c:v>5.4903980879338864E-3</c:v>
                </c:pt>
                <c:pt idx="5">
                  <c:v>1.0254580630458088E-2</c:v>
                </c:pt>
                <c:pt idx="6">
                  <c:v>1.5270096416841322E-2</c:v>
                </c:pt>
                <c:pt idx="7">
                  <c:v>3.3105092936181718E-2</c:v>
                </c:pt>
                <c:pt idx="8">
                  <c:v>7.177080932537673E-2</c:v>
                </c:pt>
                <c:pt idx="9">
                  <c:v>0.13404848598460575</c:v>
                </c:pt>
                <c:pt idx="10">
                  <c:v>0.19961160570884093</c:v>
                </c:pt>
                <c:pt idx="11">
                  <c:v>0.43275173762777136</c:v>
                </c:pt>
                <c:pt idx="12">
                  <c:v>0.93819227471682198</c:v>
                </c:pt>
                <c:pt idx="13">
                  <c:v>1.7522897563839499</c:v>
                </c:pt>
                <c:pt idx="14">
                  <c:v>2.6093347445872999</c:v>
                </c:pt>
                <c:pt idx="15">
                  <c:v>5.6569563716637861</c:v>
                </c:pt>
                <c:pt idx="16">
                  <c:v>12.264105039527578</c:v>
                </c:pt>
                <c:pt idx="17">
                  <c:v>22.906035586860334</c:v>
                </c:pt>
                <c:pt idx="18">
                  <c:v>34.109378485946827</c:v>
                </c:pt>
                <c:pt idx="19">
                  <c:v>57.642382884207152</c:v>
                </c:pt>
              </c:numCache>
            </c:numRef>
          </c:yVal>
        </c:ser>
        <c:ser>
          <c:idx val="5"/>
          <c:order val="5"/>
          <c:tx>
            <c:strRef>
              <c:f>COMPARISON!$L$38</c:f>
              <c:strCache>
                <c:ptCount val="1"/>
                <c:pt idx="0">
                  <c:v>L18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COMPARISON!$M$38:$AF$38</c:f>
              <c:numCache>
                <c:formatCode>0.0000</c:formatCode>
                <c:ptCount val="20"/>
                <c:pt idx="0">
                  <c:v>5.0784326673737222E-4</c:v>
                </c:pt>
                <c:pt idx="1">
                  <c:v>1.2903822476039537E-3</c:v>
                </c:pt>
                <c:pt idx="2">
                  <c:v>1.910736111547622E-3</c:v>
                </c:pt>
                <c:pt idx="3">
                  <c:v>4.097405545595261E-3</c:v>
                </c:pt>
                <c:pt idx="4">
                  <c:v>8.7865258334792456E-3</c:v>
                </c:pt>
                <c:pt idx="5">
                  <c:v>1.6266740106702232E-2</c:v>
                </c:pt>
                <c:pt idx="6">
                  <c:v>2.4087008168897073E-2</c:v>
                </c:pt>
                <c:pt idx="7">
                  <c:v>5.165247061149577E-2</c:v>
                </c:pt>
                <c:pt idx="8">
                  <c:v>0.11076418048948615</c:v>
                </c:pt>
                <c:pt idx="9">
                  <c:v>0.20506081371650306</c:v>
                </c:pt>
                <c:pt idx="10">
                  <c:v>0.30364421283616383</c:v>
                </c:pt>
                <c:pt idx="11">
                  <c:v>0.65113830949429152</c:v>
                </c:pt>
                <c:pt idx="12">
                  <c:v>1.3963088383306244</c:v>
                </c:pt>
                <c:pt idx="13">
                  <c:v>2.5850254596954527</c:v>
                </c:pt>
                <c:pt idx="14">
                  <c:v>3.8277816548403627</c:v>
                </c:pt>
                <c:pt idx="15">
                  <c:v>8.2083411126654013</c:v>
                </c:pt>
                <c:pt idx="16">
                  <c:v>17.602065608071602</c:v>
                </c:pt>
                <c:pt idx="17">
                  <c:v>32.587194531042968</c:v>
                </c:pt>
                <c:pt idx="18">
                  <c:v>48.253553921800133</c:v>
                </c:pt>
                <c:pt idx="19">
                  <c:v>80.943152355375872</c:v>
                </c:pt>
              </c:numCache>
            </c:numRef>
          </c:yVal>
        </c:ser>
        <c:ser>
          <c:idx val="6"/>
          <c:order val="6"/>
          <c:tx>
            <c:strRef>
              <c:f>COMPARISON!$L$39</c:f>
              <c:strCache>
                <c:ptCount val="1"/>
                <c:pt idx="0">
                  <c:v>L19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COMPARISON!$M$39:$AF$39</c:f>
              <c:numCache>
                <c:formatCode>0.0000</c:formatCode>
                <c:ptCount val="20"/>
                <c:pt idx="0">
                  <c:v>4.0431725828102814E-4</c:v>
                </c:pt>
                <c:pt idx="1">
                  <c:v>1.0470453167285418E-3</c:v>
                </c:pt>
                <c:pt idx="2">
                  <c:v>1.5628690750125851E-3</c:v>
                </c:pt>
                <c:pt idx="3">
                  <c:v>3.4039533012059455E-3</c:v>
                </c:pt>
                <c:pt idx="4">
                  <c:v>7.4138635552038114E-3</c:v>
                </c:pt>
                <c:pt idx="5">
                  <c:v>1.3898879758651951E-2</c:v>
                </c:pt>
                <c:pt idx="6">
                  <c:v>2.0746121495472215E-2</c:v>
                </c:pt>
                <c:pt idx="7">
                  <c:v>4.5185377253154677E-2</c:v>
                </c:pt>
                <c:pt idx="8">
                  <c:v>9.8414458719694065E-2</c:v>
                </c:pt>
                <c:pt idx="9">
                  <c:v>0.18449904264797806</c:v>
                </c:pt>
                <c:pt idx="10">
                  <c:v>0.27539194676395312</c:v>
                </c:pt>
                <c:pt idx="11">
                  <c:v>0.59980796939445813</c:v>
                </c:pt>
                <c:pt idx="12">
                  <c:v>1.3063911431566715</c:v>
                </c:pt>
                <c:pt idx="13">
                  <c:v>2.4491108153396919</c:v>
                </c:pt>
                <c:pt idx="14">
                  <c:v>3.6556579676346725</c:v>
                </c:pt>
                <c:pt idx="15">
                  <c:v>7.962080257368779</c:v>
                </c:pt>
                <c:pt idx="16">
                  <c:v>17.341535391452414</c:v>
                </c:pt>
                <c:pt idx="17">
                  <c:v>32.510433115136799</c:v>
                </c:pt>
                <c:pt idx="18">
                  <c:v>48.526601207352776</c:v>
                </c:pt>
                <c:pt idx="19">
                  <c:v>82.263946024353288</c:v>
                </c:pt>
              </c:numCache>
            </c:numRef>
          </c:yVal>
        </c:ser>
        <c:ser>
          <c:idx val="7"/>
          <c:order val="7"/>
          <c:tx>
            <c:strRef>
              <c:f>COMPARISON!$L$40</c:f>
              <c:strCache>
                <c:ptCount val="1"/>
                <c:pt idx="0">
                  <c:v>L20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COMPARISON!$M$40:$AF$40</c:f>
              <c:numCache>
                <c:formatCode>0.0000</c:formatCode>
                <c:ptCount val="20"/>
                <c:pt idx="0">
                  <c:v>4.4112515888149867E-4</c:v>
                </c:pt>
                <c:pt idx="1">
                  <c:v>1.1292834432681247E-3</c:v>
                </c:pt>
                <c:pt idx="2">
                  <c:v>1.6774687231330674E-3</c:v>
                </c:pt>
                <c:pt idx="3">
                  <c:v>3.6192901214559389E-3</c:v>
                </c:pt>
                <c:pt idx="4">
                  <c:v>7.8089449911188779E-3</c:v>
                </c:pt>
                <c:pt idx="5">
                  <c:v>1.4528602847422129E-2</c:v>
                </c:pt>
                <c:pt idx="6">
                  <c:v>2.158118673629255E-2</c:v>
                </c:pt>
                <c:pt idx="7">
                  <c:v>4.6563357567748348E-2</c:v>
                </c:pt>
                <c:pt idx="8">
                  <c:v>0.10046464517800947</c:v>
                </c:pt>
                <c:pt idx="9">
                  <c:v>0.18691525316909072</c:v>
                </c:pt>
                <c:pt idx="10">
                  <c:v>0.27764906404742534</c:v>
                </c:pt>
                <c:pt idx="11">
                  <c:v>0.59905290684732471</c:v>
                </c:pt>
                <c:pt idx="12">
                  <c:v>1.2925106966718662</c:v>
                </c:pt>
                <c:pt idx="13">
                  <c:v>2.4047261966049414</c:v>
                </c:pt>
                <c:pt idx="14">
                  <c:v>3.5720465101565955</c:v>
                </c:pt>
                <c:pt idx="15">
                  <c:v>7.7070126371383747</c:v>
                </c:pt>
                <c:pt idx="16">
                  <c:v>16.628575137563566</c:v>
                </c:pt>
                <c:pt idx="17">
                  <c:v>30.937593281415051</c:v>
                </c:pt>
                <c:pt idx="18">
                  <c:v>45.955552972951665</c:v>
                </c:pt>
                <c:pt idx="19">
                  <c:v>77.409269537611578</c:v>
                </c:pt>
              </c:numCache>
            </c:numRef>
          </c:yVal>
        </c:ser>
        <c:ser>
          <c:idx val="8"/>
          <c:order val="8"/>
          <c:tx>
            <c:strRef>
              <c:f>COMPARISON!$L$41</c:f>
              <c:strCache>
                <c:ptCount val="1"/>
                <c:pt idx="0">
                  <c:v>L21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COMPARISON!$M$41:$AF$41</c:f>
              <c:numCache>
                <c:formatCode>0.0000</c:formatCode>
                <c:ptCount val="20"/>
                <c:pt idx="0">
                  <c:v>4.8227317127442273E-4</c:v>
                </c:pt>
                <c:pt idx="1">
                  <c:v>1.227890134312509E-3</c:v>
                </c:pt>
                <c:pt idx="2">
                  <c:v>1.8197483144437763E-3</c:v>
                </c:pt>
                <c:pt idx="3">
                  <c:v>3.9087473941664484E-3</c:v>
                </c:pt>
                <c:pt idx="4">
                  <c:v>8.395834781181246E-3</c:v>
                </c:pt>
                <c:pt idx="5">
                  <c:v>1.5564204707638498E-2</c:v>
                </c:pt>
                <c:pt idx="6">
                  <c:v>2.3066343226416711E-2</c:v>
                </c:pt>
                <c:pt idx="7">
                  <c:v>4.9545592796311141E-2</c:v>
                </c:pt>
                <c:pt idx="8">
                  <c:v>0.10642197341131077</c:v>
                </c:pt>
                <c:pt idx="9">
                  <c:v>0.19728513277526244</c:v>
                </c:pt>
                <c:pt idx="10">
                  <c:v>0.29237899857678079</c:v>
                </c:pt>
                <c:pt idx="11">
                  <c:v>0.62801852306993944</c:v>
                </c:pt>
                <c:pt idx="12">
                  <c:v>1.3489589445165673</c:v>
                </c:pt>
                <c:pt idx="13">
                  <c:v>2.5007010859379912</c:v>
                </c:pt>
                <c:pt idx="14">
                  <c:v>3.7060698338547096</c:v>
                </c:pt>
                <c:pt idx="15">
                  <c:v>7.960491399112132</c:v>
                </c:pt>
                <c:pt idx="16">
                  <c:v>17.09882062568343</c:v>
                </c:pt>
                <c:pt idx="17">
                  <c:v>31.697806282925256</c:v>
                </c:pt>
                <c:pt idx="18">
                  <c:v>46.976539629267883</c:v>
                </c:pt>
                <c:pt idx="19">
                  <c:v>78.889411127259166</c:v>
                </c:pt>
              </c:numCache>
            </c:numRef>
          </c:yVal>
        </c:ser>
        <c:ser>
          <c:idx val="9"/>
          <c:order val="9"/>
          <c:tx>
            <c:strRef>
              <c:f>COMPARISON!$L$42</c:f>
              <c:strCache>
                <c:ptCount val="1"/>
                <c:pt idx="0">
                  <c:v>L22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COMPARISON!$M$42:$AF$42</c:f>
              <c:numCache>
                <c:formatCode>0.0000</c:formatCode>
                <c:ptCount val="20"/>
                <c:pt idx="0">
                  <c:v>5.0211394607936524E-4</c:v>
                </c:pt>
                <c:pt idx="1">
                  <c:v>1.3129131336660485E-3</c:v>
                </c:pt>
                <c:pt idx="2">
                  <c:v>1.9676920516333934E-3</c:v>
                </c:pt>
                <c:pt idx="3">
                  <c:v>4.3196270143269627E-3</c:v>
                </c:pt>
                <c:pt idx="4">
                  <c:v>9.4827732456480209E-3</c:v>
                </c:pt>
                <c:pt idx="5">
                  <c:v>1.7891151172702079E-2</c:v>
                </c:pt>
                <c:pt idx="6">
                  <c:v>2.6813865330752251E-2</c:v>
                </c:pt>
                <c:pt idx="7">
                  <c:v>5.8863833365132123E-2</c:v>
                </c:pt>
                <c:pt idx="8">
                  <c:v>0.12922235700438819</c:v>
                </c:pt>
                <c:pt idx="9">
                  <c:v>0.24380386034427384</c:v>
                </c:pt>
                <c:pt idx="10">
                  <c:v>0.36539425637201961</c:v>
                </c:pt>
                <c:pt idx="11">
                  <c:v>0.80214121889362067</c:v>
                </c:pt>
                <c:pt idx="12">
                  <c:v>1.7609213167079554</c:v>
                </c:pt>
                <c:pt idx="13">
                  <c:v>3.3223307849224875</c:v>
                </c:pt>
                <c:pt idx="14">
                  <c:v>4.9792508816898762</c:v>
                </c:pt>
                <c:pt idx="15">
                  <c:v>10.930829649794408</c:v>
                </c:pt>
                <c:pt idx="16">
                  <c:v>23.996187312472518</c:v>
                </c:pt>
                <c:pt idx="17">
                  <c:v>45.273613915944971</c:v>
                </c:pt>
                <c:pt idx="18">
                  <c:v>67.852569958206644</c:v>
                </c:pt>
                <c:pt idx="19">
                  <c:v>115.64330041145543</c:v>
                </c:pt>
              </c:numCache>
            </c:numRef>
          </c:yVal>
        </c:ser>
        <c:ser>
          <c:idx val="10"/>
          <c:order val="10"/>
          <c:tx>
            <c:strRef>
              <c:f>COMPARISON!$L$43</c:f>
              <c:strCache>
                <c:ptCount val="1"/>
                <c:pt idx="0">
                  <c:v>L23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COMPARISON!$M$43:$AF$43</c:f>
              <c:numCache>
                <c:formatCode>0.0000</c:formatCode>
                <c:ptCount val="20"/>
                <c:pt idx="0">
                  <c:v>4.1208192547472936E-4</c:v>
                </c:pt>
                <c:pt idx="1">
                  <c:v>1.0674918169243852E-3</c:v>
                </c:pt>
                <c:pt idx="2">
                  <c:v>1.5936013056838522E-3</c:v>
                </c:pt>
                <c:pt idx="3">
                  <c:v>3.4717895660534115E-3</c:v>
                </c:pt>
                <c:pt idx="4">
                  <c:v>7.5635748715611227E-3</c:v>
                </c:pt>
                <c:pt idx="5">
                  <c:v>1.4182517398577165E-2</c:v>
                </c:pt>
                <c:pt idx="6">
                  <c:v>2.1172319905340825E-2</c:v>
                </c:pt>
                <c:pt idx="7">
                  <c:v>4.6125614402006361E-2</c:v>
                </c:pt>
                <c:pt idx="8">
                  <c:v>0.100488388304859</c:v>
                </c:pt>
                <c:pt idx="9">
                  <c:v>0.18842654957344052</c:v>
                </c:pt>
                <c:pt idx="10">
                  <c:v>0.28129189438742702</c:v>
                </c:pt>
                <c:pt idx="11">
                  <c:v>0.61281718361205451</c:v>
                </c:pt>
                <c:pt idx="12">
                  <c:v>1.3350718880401373</c:v>
                </c:pt>
                <c:pt idx="13">
                  <c:v>2.5034035627352136</c:v>
                </c:pt>
                <c:pt idx="14">
                  <c:v>3.737196972359571</c:v>
                </c:pt>
                <c:pt idx="15">
                  <c:v>8.1417864108467377</c:v>
                </c:pt>
                <c:pt idx="16">
                  <c:v>17.737541384658492</c:v>
                </c:pt>
                <c:pt idx="17">
                  <c:v>33.259800235702549</c:v>
                </c:pt>
                <c:pt idx="18">
                  <c:v>49.651772727503726</c:v>
                </c:pt>
                <c:pt idx="19">
                  <c:v>84.18618999732054</c:v>
                </c:pt>
              </c:numCache>
            </c:numRef>
          </c:yVal>
        </c:ser>
        <c:ser>
          <c:idx val="11"/>
          <c:order val="11"/>
          <c:tx>
            <c:strRef>
              <c:f>COMPARISON!$L$44</c:f>
              <c:strCache>
                <c:ptCount val="1"/>
                <c:pt idx="0">
                  <c:v>L24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COMPARISON!$M$44:$AF$44</c:f>
              <c:numCache>
                <c:formatCode>0.0000</c:formatCode>
                <c:ptCount val="20"/>
                <c:pt idx="0">
                  <c:v>4.0178802949334254E-4</c:v>
                </c:pt>
                <c:pt idx="1">
                  <c:v>1.0299352296109314E-3</c:v>
                </c:pt>
                <c:pt idx="2">
                  <c:v>1.5307422921478292E-3</c:v>
                </c:pt>
                <c:pt idx="3">
                  <c:v>3.3062737415160653E-3</c:v>
                </c:pt>
                <c:pt idx="4">
                  <c:v>7.1412713360786617E-3</c:v>
                </c:pt>
                <c:pt idx="5">
                  <c:v>1.3297949275255046E-2</c:v>
                </c:pt>
                <c:pt idx="6">
                  <c:v>1.9764090759531755E-2</c:v>
                </c:pt>
                <c:pt idx="7">
                  <c:v>4.2688762594709342E-2</c:v>
                </c:pt>
                <c:pt idx="8">
                  <c:v>9.2204112703166086E-2</c:v>
                </c:pt>
                <c:pt idx="9">
                  <c:v>0.17169570458722819</c:v>
                </c:pt>
                <c:pt idx="10">
                  <c:v>0.25518291717341673</c:v>
                </c:pt>
                <c:pt idx="11">
                  <c:v>0.55117349449469377</c:v>
                </c:pt>
                <c:pt idx="12">
                  <c:v>1.1904880796822372</c:v>
                </c:pt>
                <c:pt idx="13">
                  <c:v>2.2168391805013283</c:v>
                </c:pt>
                <c:pt idx="14">
                  <c:v>3.2947795074119486</c:v>
                </c:pt>
                <c:pt idx="15">
                  <c:v>7.1164447636423844</c:v>
                </c:pt>
                <c:pt idx="16">
                  <c:v>15.37091813277479</c:v>
                </c:pt>
                <c:pt idx="17">
                  <c:v>28.622591135989087</c:v>
                </c:pt>
                <c:pt idx="18">
                  <c:v>42.540355454454321</c:v>
                </c:pt>
                <c:pt idx="19">
                  <c:v>71.708933393861983</c:v>
                </c:pt>
              </c:numCache>
            </c:numRef>
          </c:yVal>
        </c:ser>
        <c:axId val="65234048"/>
        <c:axId val="65235968"/>
      </c:scatterChart>
      <c:valAx>
        <c:axId val="65234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Rads, Qsum/70E-9</a:t>
                </a:r>
                <a:endParaRPr lang="en-US" sz="1000"/>
              </a:p>
            </c:rich>
          </c:tx>
          <c:layout/>
        </c:title>
        <c:numFmt formatCode="General" sourceLinked="1"/>
        <c:tickLblPos val="nextTo"/>
        <c:crossAx val="65235968"/>
        <c:crosses val="autoZero"/>
        <c:crossBetween val="midCat"/>
      </c:valAx>
      <c:valAx>
        <c:axId val="65235968"/>
        <c:scaling>
          <c:orientation val="minMax"/>
          <c:max val="14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Rads/Sec, based on C1, C2, Q sum</a:t>
                </a:r>
              </a:p>
            </c:rich>
          </c:tx>
          <c:layout>
            <c:manualLayout>
              <c:xMode val="edge"/>
              <c:yMode val="edge"/>
              <c:x val="3.259259259259259E-2"/>
              <c:y val="0.12989816272965876"/>
            </c:manualLayout>
          </c:layout>
        </c:title>
        <c:numFmt formatCode="0.0000" sourceLinked="1"/>
        <c:tickLblPos val="nextTo"/>
        <c:crossAx val="652340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COMPARISON!$L$45</c:f>
              <c:strCache>
                <c:ptCount val="1"/>
                <c:pt idx="0">
                  <c:v>S01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COMPARISON!$M$45:$AF$45</c:f>
              <c:numCache>
                <c:formatCode>0.0000</c:formatCode>
                <c:ptCount val="20"/>
                <c:pt idx="0">
                  <c:v>3.0826029734125555E-4</c:v>
                </c:pt>
                <c:pt idx="1">
                  <c:v>7.9468168935685284E-4</c:v>
                </c:pt>
                <c:pt idx="2">
                  <c:v>1.1839191868714192E-3</c:v>
                </c:pt>
                <c:pt idx="3">
                  <c:v>2.5690552002000135E-3</c:v>
                </c:pt>
                <c:pt idx="4">
                  <c:v>5.5747425118734782E-3</c:v>
                </c:pt>
                <c:pt idx="5">
                  <c:v>1.0419826511123945E-2</c:v>
                </c:pt>
                <c:pt idx="6">
                  <c:v>1.5523489084510121E-2</c:v>
                </c:pt>
                <c:pt idx="7">
                  <c:v>3.3685323120065419E-2</c:v>
                </c:pt>
                <c:pt idx="8">
                  <c:v>7.3095744618100505E-2</c:v>
                </c:pt>
                <c:pt idx="9">
                  <c:v>0.13662424336188156</c:v>
                </c:pt>
                <c:pt idx="10">
                  <c:v>0.2035432114194427</c:v>
                </c:pt>
                <c:pt idx="11">
                  <c:v>0.44168026970182334</c:v>
                </c:pt>
                <c:pt idx="12">
                  <c:v>0.95842774260778474</c:v>
                </c:pt>
                <c:pt idx="13">
                  <c:v>1.791410236464023</c:v>
                </c:pt>
                <c:pt idx="14">
                  <c:v>2.6688483941590313</c:v>
                </c:pt>
                <c:pt idx="15">
                  <c:v>5.7912895758352052</c:v>
                </c:pt>
                <c:pt idx="16">
                  <c:v>12.566856560522549</c:v>
                </c:pt>
                <c:pt idx="17">
                  <c:v>23.488881302038678</c:v>
                </c:pt>
                <c:pt idx="18">
                  <c:v>34.993806481353658</c:v>
                </c:pt>
                <c:pt idx="19">
                  <c:v>59.173793520224315</c:v>
                </c:pt>
              </c:numCache>
            </c:numRef>
          </c:yVal>
        </c:ser>
        <c:ser>
          <c:idx val="1"/>
          <c:order val="1"/>
          <c:tx>
            <c:strRef>
              <c:f>COMPARISON!$L$46</c:f>
              <c:strCache>
                <c:ptCount val="1"/>
                <c:pt idx="0">
                  <c:v>S02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COMPARISON!$M$46:$AF$46</c:f>
              <c:numCache>
                <c:formatCode>0.0000</c:formatCode>
                <c:ptCount val="20"/>
                <c:pt idx="0">
                  <c:v>3.0915684755004164E-4</c:v>
                </c:pt>
                <c:pt idx="1">
                  <c:v>8.1028577493439519E-4</c:v>
                </c:pt>
                <c:pt idx="2">
                  <c:v>1.2156011449547131E-3</c:v>
                </c:pt>
                <c:pt idx="3">
                  <c:v>2.6737405170283966E-3</c:v>
                </c:pt>
                <c:pt idx="4">
                  <c:v>5.8809490119932691E-3</c:v>
                </c:pt>
                <c:pt idx="5">
                  <c:v>1.1112908446294676E-2</c:v>
                </c:pt>
                <c:pt idx="6">
                  <c:v>1.6671728233395744E-2</c:v>
                </c:pt>
                <c:pt idx="7">
                  <c:v>3.6669820073406661E-2</c:v>
                </c:pt>
                <c:pt idx="8">
                  <c:v>8.0656047494971433E-2</c:v>
                </c:pt>
                <c:pt idx="9">
                  <c:v>0.15241133184860173</c:v>
                </c:pt>
                <c:pt idx="10">
                  <c:v>0.22864944101262635</c:v>
                </c:pt>
                <c:pt idx="11">
                  <c:v>0.50291929813387248</c:v>
                </c:pt>
                <c:pt idx="12">
                  <c:v>1.106181669700643</c:v>
                </c:pt>
                <c:pt idx="13">
                  <c:v>2.090291140984772</c:v>
                </c:pt>
                <c:pt idx="14">
                  <c:v>3.1358816640653737</c:v>
                </c:pt>
                <c:pt idx="15">
                  <c:v>6.8974382729216801</c:v>
                </c:pt>
                <c:pt idx="16">
                  <c:v>15.171061865608985</c:v>
                </c:pt>
                <c:pt idx="17">
                  <c:v>28.667927778622659</c:v>
                </c:pt>
                <c:pt idx="18">
                  <c:v>43.007994104295129</c:v>
                </c:pt>
                <c:pt idx="19">
                  <c:v>73.395983262886574</c:v>
                </c:pt>
              </c:numCache>
            </c:numRef>
          </c:yVal>
        </c:ser>
        <c:ser>
          <c:idx val="2"/>
          <c:order val="2"/>
          <c:tx>
            <c:strRef>
              <c:f>COMPARISON!$L$47</c:f>
              <c:strCache>
                <c:ptCount val="1"/>
                <c:pt idx="0">
                  <c:v>S03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COMPARISON!$M$47:$AF$47</c:f>
              <c:numCache>
                <c:formatCode>0.0000</c:formatCode>
                <c:ptCount val="20"/>
                <c:pt idx="0">
                  <c:v>3.2593608546510231E-4</c:v>
                </c:pt>
                <c:pt idx="1">
                  <c:v>8.7496641846427519E-4</c:v>
                </c:pt>
                <c:pt idx="2">
                  <c:v>1.325934407690314E-3</c:v>
                </c:pt>
                <c:pt idx="3">
                  <c:v>2.9741151027717527E-3</c:v>
                </c:pt>
                <c:pt idx="4">
                  <c:v>6.6710393766333228E-3</c:v>
                </c:pt>
                <c:pt idx="5">
                  <c:v>1.2806854014253031E-2</c:v>
                </c:pt>
                <c:pt idx="6">
                  <c:v>1.9407657292230478E-2</c:v>
                </c:pt>
                <c:pt idx="7">
                  <c:v>4.3532022645664893E-2</c:v>
                </c:pt>
                <c:pt idx="8">
                  <c:v>9.7643778797626091E-2</c:v>
                </c:pt>
                <c:pt idx="9">
                  <c:v>0.18745349110685472</c:v>
                </c:pt>
                <c:pt idx="10">
                  <c:v>0.28406922649271626</c:v>
                </c:pt>
                <c:pt idx="11">
                  <c:v>0.63717675010512687</c:v>
                </c:pt>
                <c:pt idx="12">
                  <c:v>1.4292087034106791</c:v>
                </c:pt>
                <c:pt idx="13">
                  <c:v>2.7437504393382572</c:v>
                </c:pt>
                <c:pt idx="14">
                  <c:v>4.1579117059365753</c:v>
                </c:pt>
                <c:pt idx="15">
                  <c:v>9.3263346428715046</c:v>
                </c:pt>
                <c:pt idx="16">
                  <c:v>20.919279682306836</c:v>
                </c:pt>
                <c:pt idx="17">
                  <c:v>40.160182821442184</c:v>
                </c:pt>
                <c:pt idx="18">
                  <c:v>60.859213677648064</c:v>
                </c:pt>
                <c:pt idx="19">
                  <c:v>105.24905129701474</c:v>
                </c:pt>
              </c:numCache>
            </c:numRef>
          </c:yVal>
        </c:ser>
        <c:ser>
          <c:idx val="3"/>
          <c:order val="3"/>
          <c:tx>
            <c:strRef>
              <c:f>COMPARISON!$L$48</c:f>
              <c:strCache>
                <c:ptCount val="1"/>
                <c:pt idx="0">
                  <c:v>S04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COMPARISON!$M$48:$AF$48</c:f>
              <c:numCache>
                <c:formatCode>0.0000</c:formatCode>
                <c:ptCount val="20"/>
                <c:pt idx="0">
                  <c:v>3.2242469098275596E-4</c:v>
                </c:pt>
                <c:pt idx="1">
                  <c:v>8.5537762538823614E-4</c:v>
                </c:pt>
                <c:pt idx="2">
                  <c:v>1.2898206144010091E-3</c:v>
                </c:pt>
                <c:pt idx="3">
                  <c:v>2.8652920329981604E-3</c:v>
                </c:pt>
                <c:pt idx="4">
                  <c:v>6.3651474807412869E-3</c:v>
                </c:pt>
                <c:pt idx="5">
                  <c:v>1.2124662000779565E-2</c:v>
                </c:pt>
                <c:pt idx="6">
                  <c:v>1.8282730956578511E-2</c:v>
                </c:pt>
                <c:pt idx="7">
                  <c:v>4.0614456589113314E-2</c:v>
                </c:pt>
                <c:pt idx="8">
                  <c:v>9.0223615276438712E-2</c:v>
                </c:pt>
                <c:pt idx="9">
                  <c:v>0.17186260695844741</c:v>
                </c:pt>
                <c:pt idx="10">
                  <c:v>0.25915096060537229</c:v>
                </c:pt>
                <c:pt idx="11">
                  <c:v>0.57569492569416914</c:v>
                </c:pt>
                <c:pt idx="12">
                  <c:v>1.2788864324323201</c:v>
                </c:pt>
                <c:pt idx="13">
                  <c:v>2.4360889951946438</c:v>
                </c:pt>
                <c:pt idx="14">
                  <c:v>3.6733691778427744</c:v>
                </c:pt>
                <c:pt idx="15">
                  <c:v>8.160263002481031</c:v>
                </c:pt>
                <c:pt idx="16">
                  <c:v>18.127742964502847</c:v>
                </c:pt>
                <c:pt idx="17">
                  <c:v>34.530662006909225</c:v>
                </c:pt>
                <c:pt idx="18">
                  <c:v>52.068651743386759</c:v>
                </c:pt>
                <c:pt idx="19">
                  <c:v>89.458763624750858</c:v>
                </c:pt>
              </c:numCache>
            </c:numRef>
          </c:yVal>
        </c:ser>
        <c:ser>
          <c:idx val="4"/>
          <c:order val="4"/>
          <c:tx>
            <c:strRef>
              <c:f>COMPARISON!$L$49</c:f>
              <c:strCache>
                <c:ptCount val="1"/>
                <c:pt idx="0">
                  <c:v>S05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COMPARISON!$M$49:$AF$49</c:f>
              <c:numCache>
                <c:formatCode>0.0000</c:formatCode>
                <c:ptCount val="20"/>
                <c:pt idx="0">
                  <c:v>2.5412118927079489E-4</c:v>
                </c:pt>
                <c:pt idx="1">
                  <c:v>6.7864558974393171E-4</c:v>
                </c:pt>
                <c:pt idx="2">
                  <c:v>1.026180313821999E-3</c:v>
                </c:pt>
                <c:pt idx="3">
                  <c:v>2.291992568489918E-3</c:v>
                </c:pt>
                <c:pt idx="4">
                  <c:v>5.1192074757772602E-3</c:v>
                </c:pt>
                <c:pt idx="5">
                  <c:v>9.7940235312643734E-3</c:v>
                </c:pt>
                <c:pt idx="6">
                  <c:v>1.4809547564709256E-2</c:v>
                </c:pt>
                <c:pt idx="7">
                  <c:v>3.3077396344303074E-2</c:v>
                </c:pt>
                <c:pt idx="8">
                  <c:v>7.387897193600719E-2</c:v>
                </c:pt>
                <c:pt idx="9">
                  <c:v>0.14134461106150292</c:v>
                </c:pt>
                <c:pt idx="10">
                  <c:v>0.21372725252789124</c:v>
                </c:pt>
                <c:pt idx="11">
                  <c:v>0.47736374190731923</c:v>
                </c:pt>
                <c:pt idx="12">
                  <c:v>1.066200680505258</c:v>
                </c:pt>
                <c:pt idx="13">
                  <c:v>2.0398459338343451</c:v>
                </c:pt>
                <c:pt idx="14">
                  <c:v>3.0844519910907842</c:v>
                </c:pt>
                <c:pt idx="15">
                  <c:v>6.8891801433157474</c:v>
                </c:pt>
                <c:pt idx="16">
                  <c:v>15.387110314617592</c:v>
                </c:pt>
                <c:pt idx="17">
                  <c:v>29.438486565079959</c:v>
                </c:pt>
                <c:pt idx="18">
                  <c:v>44.513949310710082</c:v>
                </c:pt>
                <c:pt idx="19">
                  <c:v>76.760203925392503</c:v>
                </c:pt>
              </c:numCache>
            </c:numRef>
          </c:yVal>
        </c:ser>
        <c:ser>
          <c:idx val="5"/>
          <c:order val="5"/>
          <c:tx>
            <c:strRef>
              <c:f>COMPARISON!$L$50</c:f>
              <c:strCache>
                <c:ptCount val="1"/>
                <c:pt idx="0">
                  <c:v>S06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COMPARISON!$M$50:$AF$50</c:f>
              <c:numCache>
                <c:formatCode>0.0000</c:formatCode>
                <c:ptCount val="20"/>
                <c:pt idx="0">
                  <c:v>1.6343613826074263E-4</c:v>
                </c:pt>
                <c:pt idx="1">
                  <c:v>4.2075203858673785E-4</c:v>
                </c:pt>
                <c:pt idx="2">
                  <c:v>6.2647474812415694E-4</c:v>
                </c:pt>
                <c:pt idx="3">
                  <c:v>1.3578949424546635E-3</c:v>
                </c:pt>
                <c:pt idx="4">
                  <c:v>2.9432609698396687E-3</c:v>
                </c:pt>
                <c:pt idx="5">
                  <c:v>5.4962924208495191E-3</c:v>
                </c:pt>
                <c:pt idx="6">
                  <c:v>8.1836523514754022E-3</c:v>
                </c:pt>
                <c:pt idx="7">
                  <c:v>1.7738209197018337E-2</c:v>
                </c:pt>
                <c:pt idx="8">
                  <c:v>3.8447877793887732E-2</c:v>
                </c:pt>
                <c:pt idx="9">
                  <c:v>7.179817946208325E-2</c:v>
                </c:pt>
                <c:pt idx="10">
                  <c:v>0.10690321678621893</c:v>
                </c:pt>
                <c:pt idx="11">
                  <c:v>0.23171458680625515</c:v>
                </c:pt>
                <c:pt idx="12">
                  <c:v>0.50224540807002915</c:v>
                </c:pt>
                <c:pt idx="13">
                  <c:v>0.93790107573511283</c:v>
                </c:pt>
                <c:pt idx="14">
                  <c:v>1.3964788908928907</c:v>
                </c:pt>
                <c:pt idx="15">
                  <c:v>3.026892350994411</c:v>
                </c:pt>
                <c:pt idx="16">
                  <c:v>6.5608419606331125</c:v>
                </c:pt>
                <c:pt idx="17">
                  <c:v>12.251820790659854</c:v>
                </c:pt>
                <c:pt idx="18">
                  <c:v>18.242232098677423</c:v>
                </c:pt>
                <c:pt idx="19">
                  <c:v>30.82370060379634</c:v>
                </c:pt>
              </c:numCache>
            </c:numRef>
          </c:yVal>
        </c:ser>
        <c:ser>
          <c:idx val="6"/>
          <c:order val="6"/>
          <c:tx>
            <c:strRef>
              <c:f>COMPARISON!$L$51</c:f>
              <c:strCache>
                <c:ptCount val="1"/>
                <c:pt idx="0">
                  <c:v>S07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COMPARISON!$M$51:$AF$51</c:f>
              <c:numCache>
                <c:formatCode>0.0000</c:formatCode>
                <c:ptCount val="20"/>
                <c:pt idx="0">
                  <c:v>9.2910892758955117E-5</c:v>
                </c:pt>
                <c:pt idx="1">
                  <c:v>2.416432452387988E-4</c:v>
                </c:pt>
                <c:pt idx="2">
                  <c:v>3.6134062273134363E-4</c:v>
                </c:pt>
                <c:pt idx="3">
                  <c:v>7.8977492290242357E-4</c:v>
                </c:pt>
                <c:pt idx="4">
                  <c:v>1.7261951455407843E-3</c:v>
                </c:pt>
                <c:pt idx="5">
                  <c:v>3.2453143076721109E-3</c:v>
                </c:pt>
                <c:pt idx="6">
                  <c:v>4.8528726376536151E-3</c:v>
                </c:pt>
                <c:pt idx="7">
                  <c:v>1.0606826003362877E-2</c:v>
                </c:pt>
                <c:pt idx="8">
                  <c:v>2.3183126009260424E-2</c:v>
                </c:pt>
                <c:pt idx="9">
                  <c:v>4.3585182549478275E-2</c:v>
                </c:pt>
                <c:pt idx="10">
                  <c:v>6.5174993775323861E-2</c:v>
                </c:pt>
                <c:pt idx="11">
                  <c:v>0.14245167148655499</c:v>
                </c:pt>
                <c:pt idx="12">
                  <c:v>0.31135374986405029</c:v>
                </c:pt>
                <c:pt idx="13">
                  <c:v>0.58535721282232045</c:v>
                </c:pt>
                <c:pt idx="14">
                  <c:v>0.87531244497431504</c:v>
                </c:pt>
                <c:pt idx="15">
                  <c:v>1.9131527850913752</c:v>
                </c:pt>
                <c:pt idx="16">
                  <c:v>4.1815395178235866</c:v>
                </c:pt>
                <c:pt idx="17">
                  <c:v>7.8614576459360448</c:v>
                </c:pt>
                <c:pt idx="18">
                  <c:v>11.755611039536355</c:v>
                </c:pt>
                <c:pt idx="19">
                  <c:v>19.976035802430985</c:v>
                </c:pt>
              </c:numCache>
            </c:numRef>
          </c:yVal>
        </c:ser>
        <c:ser>
          <c:idx val="7"/>
          <c:order val="7"/>
          <c:tx>
            <c:strRef>
              <c:f>COMPARISON!$L$52</c:f>
              <c:strCache>
                <c:ptCount val="1"/>
                <c:pt idx="0">
                  <c:v>S08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COMPARISON!$M$52:$AF$52</c:f>
              <c:numCache>
                <c:formatCode>0.0000</c:formatCode>
                <c:ptCount val="20"/>
                <c:pt idx="0">
                  <c:v>1.5352641525644611E-4</c:v>
                </c:pt>
                <c:pt idx="1">
                  <c:v>3.9580147307118199E-4</c:v>
                </c:pt>
                <c:pt idx="2">
                  <c:v>5.8967691159818054E-4</c:v>
                </c:pt>
                <c:pt idx="3">
                  <c:v>1.2796193089340394E-3</c:v>
                </c:pt>
                <c:pt idx="4">
                  <c:v>2.7768181924555657E-3</c:v>
                </c:pt>
                <c:pt idx="5">
                  <c:v>5.1903358551121954E-3</c:v>
                </c:pt>
                <c:pt idx="6">
                  <c:v>7.7327181060022039E-3</c:v>
                </c:pt>
                <c:pt idx="7">
                  <c:v>1.6780265946255916E-2</c:v>
                </c:pt>
                <c:pt idx="8">
                  <c:v>3.6413757926661537E-2</c:v>
                </c:pt>
                <c:pt idx="9">
                  <c:v>6.8063380562554288E-2</c:v>
                </c:pt>
                <c:pt idx="10">
                  <c:v>0.10140286677467834</c:v>
                </c:pt>
                <c:pt idx="11">
                  <c:v>0.22004773080646703</c:v>
                </c:pt>
                <c:pt idx="12">
                  <c:v>0.47751119246627227</c:v>
                </c:pt>
                <c:pt idx="13">
                  <c:v>0.89254797818915688</c:v>
                </c:pt>
                <c:pt idx="14">
                  <c:v>1.3297447610487503</c:v>
                </c:pt>
                <c:pt idx="15">
                  <c:v>2.8855921585604722</c:v>
                </c:pt>
                <c:pt idx="16">
                  <c:v>6.2618348644431583</c:v>
                </c:pt>
                <c:pt idx="17">
                  <c:v>11.704412663390844</c:v>
                </c:pt>
                <c:pt idx="18">
                  <c:v>17.437585206201874</c:v>
                </c:pt>
                <c:pt idx="19">
                  <c:v>29.487294869002625</c:v>
                </c:pt>
              </c:numCache>
            </c:numRef>
          </c:yVal>
        </c:ser>
        <c:ser>
          <c:idx val="8"/>
          <c:order val="8"/>
          <c:tx>
            <c:strRef>
              <c:f>COMPARISON!$L$53</c:f>
              <c:strCache>
                <c:ptCount val="1"/>
                <c:pt idx="0">
                  <c:v>S09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COMPARISON!$M$53:$AF$53</c:f>
              <c:numCache>
                <c:formatCode>0.0000</c:formatCode>
                <c:ptCount val="20"/>
                <c:pt idx="0">
                  <c:v>1.6715855908289623E-4</c:v>
                </c:pt>
                <c:pt idx="1">
                  <c:v>4.4590173926468041E-4</c:v>
                </c:pt>
                <c:pt idx="2">
                  <c:v>6.7392702207082677E-4</c:v>
                </c:pt>
                <c:pt idx="3">
                  <c:v>1.5038351470145718E-3</c:v>
                </c:pt>
                <c:pt idx="4">
                  <c:v>3.3557344865727486E-3</c:v>
                </c:pt>
                <c:pt idx="5">
                  <c:v>6.4153641411127289E-3</c:v>
                </c:pt>
                <c:pt idx="6">
                  <c:v>9.6960537948333602E-3</c:v>
                </c:pt>
                <c:pt idx="7">
                  <c:v>2.163626921978801E-2</c:v>
                </c:pt>
                <c:pt idx="8">
                  <c:v>4.8280275218831263E-2</c:v>
                </c:pt>
                <c:pt idx="9">
                  <c:v>9.2300373465565827E-2</c:v>
                </c:pt>
                <c:pt idx="10">
                  <c:v>0.13950094908410021</c:v>
                </c:pt>
                <c:pt idx="11">
                  <c:v>0.31128953640994278</c:v>
                </c:pt>
                <c:pt idx="12">
                  <c:v>0.69462735640528472</c:v>
                </c:pt>
                <c:pt idx="13">
                  <c:v>1.327961866932353</c:v>
                </c:pt>
                <c:pt idx="14">
                  <c:v>2.0070551594644206</c:v>
                </c:pt>
                <c:pt idx="15">
                  <c:v>4.4786453012746597</c:v>
                </c:pt>
                <c:pt idx="16">
                  <c:v>9.9938776670104978</c:v>
                </c:pt>
                <c:pt idx="17">
                  <c:v>19.105910992704125</c:v>
                </c:pt>
                <c:pt idx="18">
                  <c:v>28.876293957715202</c:v>
                </c:pt>
                <c:pt idx="19">
                  <c:v>49.763251573924535</c:v>
                </c:pt>
              </c:numCache>
            </c:numRef>
          </c:yVal>
        </c:ser>
        <c:ser>
          <c:idx val="9"/>
          <c:order val="9"/>
          <c:tx>
            <c:strRef>
              <c:f>COMPARISON!$L$54</c:f>
              <c:strCache>
                <c:ptCount val="1"/>
                <c:pt idx="0">
                  <c:v>S10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COMPARISON!$M$54:$AF$54</c:f>
              <c:numCache>
                <c:formatCode>0.0000</c:formatCode>
                <c:ptCount val="20"/>
                <c:pt idx="0">
                  <c:v>1.2802156096916519E-4</c:v>
                </c:pt>
                <c:pt idx="1">
                  <c:v>3.3987303125301708E-4</c:v>
                </c:pt>
                <c:pt idx="2">
                  <c:v>5.1264426146353543E-4</c:v>
                </c:pt>
                <c:pt idx="3">
                  <c:v>1.1394738571065322E-3</c:v>
                </c:pt>
                <c:pt idx="4">
                  <c:v>2.5327517903399053E-3</c:v>
                </c:pt>
                <c:pt idx="5">
                  <c:v>4.8267474907660798E-3</c:v>
                </c:pt>
                <c:pt idx="6">
                  <c:v>7.2803787742508445E-3</c:v>
                </c:pt>
                <c:pt idx="7">
                  <c:v>1.6182374224591324E-2</c:v>
                </c:pt>
                <c:pt idx="8">
                  <c:v>3.5969177382761126E-2</c:v>
                </c:pt>
                <c:pt idx="9">
                  <c:v>6.8547631607384307E-2</c:v>
                </c:pt>
                <c:pt idx="10">
                  <c:v>0.1033931696518804</c:v>
                </c:pt>
                <c:pt idx="11">
                  <c:v>0.22981592242026735</c:v>
                </c:pt>
                <c:pt idx="12">
                  <c:v>0.51082057330967423</c:v>
                </c:pt>
                <c:pt idx="13">
                  <c:v>0.97348738627217979</c:v>
                </c:pt>
                <c:pt idx="14">
                  <c:v>1.4683504611698694</c:v>
                </c:pt>
                <c:pt idx="15">
                  <c:v>3.2637583005352808</c:v>
                </c:pt>
                <c:pt idx="16">
                  <c:v>7.2544794488818169</c:v>
                </c:pt>
                <c:pt idx="17">
                  <c:v>13.825097512617049</c:v>
                </c:pt>
                <c:pt idx="18">
                  <c:v>20.852954639818929</c:v>
                </c:pt>
                <c:pt idx="19">
                  <c:v>35.841220107847469</c:v>
                </c:pt>
              </c:numCache>
            </c:numRef>
          </c:yVal>
        </c:ser>
        <c:ser>
          <c:idx val="10"/>
          <c:order val="10"/>
          <c:tx>
            <c:strRef>
              <c:f>COMPARISON!$L$55</c:f>
              <c:strCache>
                <c:ptCount val="1"/>
                <c:pt idx="0">
                  <c:v>S11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COMPARISON!$M$55:$AF$55</c:f>
              <c:numCache>
                <c:formatCode>0.0000</c:formatCode>
                <c:ptCount val="20"/>
                <c:pt idx="0">
                  <c:v>1.4587487793909818E-4</c:v>
                </c:pt>
                <c:pt idx="1">
                  <c:v>3.8006583295212889E-4</c:v>
                </c:pt>
                <c:pt idx="2">
                  <c:v>5.6875498921323279E-4</c:v>
                </c:pt>
                <c:pt idx="3">
                  <c:v>1.2449213811240526E-3</c:v>
                </c:pt>
                <c:pt idx="4">
                  <c:v>2.7249505930905787E-3</c:v>
                </c:pt>
                <c:pt idx="5">
                  <c:v>5.1290184925504865E-3</c:v>
                </c:pt>
                <c:pt idx="6">
                  <c:v>7.6753935883851583E-3</c:v>
                </c:pt>
                <c:pt idx="7">
                  <c:v>1.6800312556275038E-2</c:v>
                </c:pt>
                <c:pt idx="8">
                  <c:v>3.6773423895245232E-2</c:v>
                </c:pt>
                <c:pt idx="9">
                  <c:v>6.9216510446595533E-2</c:v>
                </c:pt>
                <c:pt idx="10">
                  <c:v>0.10358004387463465</c:v>
                </c:pt>
                <c:pt idx="11">
                  <c:v>0.22672154745521911</c:v>
                </c:pt>
                <c:pt idx="12">
                  <c:v>0.49626026556527458</c:v>
                </c:pt>
                <c:pt idx="13">
                  <c:v>0.93408228598943621</c:v>
                </c:pt>
                <c:pt idx="14">
                  <c:v>1.3978208889908523</c:v>
                </c:pt>
                <c:pt idx="15">
                  <c:v>3.0596252247277209</c:v>
                </c:pt>
                <c:pt idx="16">
                  <c:v>6.6970715558188934</c:v>
                </c:pt>
                <c:pt idx="17">
                  <c:v>12.60551436889385</c:v>
                </c:pt>
                <c:pt idx="18">
                  <c:v>18.863703514781569</c:v>
                </c:pt>
                <c:pt idx="19">
                  <c:v>32.086204875746482</c:v>
                </c:pt>
              </c:numCache>
            </c:numRef>
          </c:yVal>
        </c:ser>
        <c:ser>
          <c:idx val="11"/>
          <c:order val="11"/>
          <c:tx>
            <c:strRef>
              <c:f>COMPARISON!$L$56</c:f>
              <c:strCache>
                <c:ptCount val="1"/>
                <c:pt idx="0">
                  <c:v>S12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COMPARISON!$M$56:$AF$56</c:f>
              <c:numCache>
                <c:formatCode>0.0000</c:formatCode>
                <c:ptCount val="20"/>
                <c:pt idx="0">
                  <c:v>2.2880396365692601E-4</c:v>
                </c:pt>
                <c:pt idx="1">
                  <c:v>6.1416947909544118E-4</c:v>
                </c:pt>
                <c:pt idx="2">
                  <c:v>9.3068875651176322E-4</c:v>
                </c:pt>
                <c:pt idx="3">
                  <c:v>2.087431236605214E-3</c:v>
                </c:pt>
                <c:pt idx="4">
                  <c:v>4.6818758011934053E-3</c:v>
                </c:pt>
                <c:pt idx="5">
                  <c:v>8.9876514286729072E-3</c:v>
                </c:pt>
                <c:pt idx="6">
                  <c:v>1.3619540561397539E-2</c:v>
                </c:pt>
                <c:pt idx="7">
                  <c:v>3.0547112766923932E-2</c:v>
                </c:pt>
                <c:pt idx="8">
                  <c:v>6.8513772119448063E-2</c:v>
                </c:pt>
                <c:pt idx="9">
                  <c:v>0.13152375842950895</c:v>
                </c:pt>
                <c:pt idx="10">
                  <c:v>0.19930603416633016</c:v>
                </c:pt>
                <c:pt idx="11">
                  <c:v>0.44702123932604759</c:v>
                </c:pt>
                <c:pt idx="12">
                  <c:v>1.0026188582018969</c:v>
                </c:pt>
                <c:pt idx="13">
                  <c:v>1.9246962533768546</c:v>
                </c:pt>
                <c:pt idx="14">
                  <c:v>2.9166105182504363</c:v>
                </c:pt>
                <c:pt idx="15">
                  <c:v>6.5416325900681009</c:v>
                </c:pt>
                <c:pt idx="16">
                  <c:v>14.672153403983099</c:v>
                </c:pt>
                <c:pt idx="17">
                  <c:v>28.165676771990359</c:v>
                </c:pt>
                <c:pt idx="18">
                  <c:v>42.681180982558089</c:v>
                </c:pt>
                <c:pt idx="19">
                  <c:v>73.808993063340722</c:v>
                </c:pt>
              </c:numCache>
            </c:numRef>
          </c:yVal>
        </c:ser>
        <c:axId val="65392000"/>
        <c:axId val="65398272"/>
      </c:scatterChart>
      <c:valAx>
        <c:axId val="65392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Rads, Qsum/70E-9</a:t>
                </a:r>
                <a:endParaRPr lang="en-US" sz="1000" baseline="0"/>
              </a:p>
            </c:rich>
          </c:tx>
          <c:layout/>
        </c:title>
        <c:numFmt formatCode="General" sourceLinked="1"/>
        <c:tickLblPos val="nextTo"/>
        <c:crossAx val="65398272"/>
        <c:crosses val="autoZero"/>
        <c:crossBetween val="midCat"/>
      </c:valAx>
      <c:valAx>
        <c:axId val="65398272"/>
        <c:scaling>
          <c:orientation val="minMax"/>
          <c:max val="14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Rads/Sec, based on C1, C2, Q sum</a:t>
                </a:r>
              </a:p>
            </c:rich>
          </c:tx>
          <c:layout/>
        </c:title>
        <c:numFmt formatCode="0.0000" sourceLinked="1"/>
        <c:tickLblPos val="nextTo"/>
        <c:crossAx val="65392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COMPARISON!$L$57</c:f>
              <c:strCache>
                <c:ptCount val="1"/>
                <c:pt idx="0">
                  <c:v>S13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COMPARISON!$M$57:$AF$57</c:f>
              <c:numCache>
                <c:formatCode>0.0000</c:formatCode>
                <c:ptCount val="20"/>
                <c:pt idx="0">
                  <c:v>2.0110762482880001E-4</c:v>
                </c:pt>
                <c:pt idx="1">
                  <c:v>5.3388691723305385E-4</c:v>
                </c:pt>
                <c:pt idx="2">
                  <c:v>8.0527323935777634E-4</c:v>
                </c:pt>
                <c:pt idx="3">
                  <c:v>1.7898680858909829E-3</c:v>
                </c:pt>
                <c:pt idx="4">
                  <c:v>3.9783114703352629E-3</c:v>
                </c:pt>
                <c:pt idx="5">
                  <c:v>7.5814495055828062E-3</c:v>
                </c:pt>
                <c:pt idx="6">
                  <c:v>1.1435265044569442E-2</c:v>
                </c:pt>
                <c:pt idx="7">
                  <c:v>2.5416982654611793E-2</c:v>
                </c:pt>
                <c:pt idx="8">
                  <c:v>5.6493925129582602E-2</c:v>
                </c:pt>
                <c:pt idx="9">
                  <c:v>0.10766020808974304</c:v>
                </c:pt>
                <c:pt idx="10">
                  <c:v>0.16238623146578177</c:v>
                </c:pt>
                <c:pt idx="11">
                  <c:v>0.36093330696113907</c:v>
                </c:pt>
                <c:pt idx="12">
                  <c:v>0.80224074971131198</c:v>
                </c:pt>
                <c:pt idx="13">
                  <c:v>1.5288264331763461</c:v>
                </c:pt>
                <c:pt idx="14">
                  <c:v>2.3059621326557034</c:v>
                </c:pt>
                <c:pt idx="15">
                  <c:v>5.1254255410315581</c:v>
                </c:pt>
                <c:pt idx="16">
                  <c:v>11.392202241588562</c:v>
                </c:pt>
                <c:pt idx="17">
                  <c:v>21.710066367607084</c:v>
                </c:pt>
                <c:pt idx="18">
                  <c:v>32.745764891788376</c:v>
                </c:pt>
                <c:pt idx="19">
                  <c:v>56.281180889900362</c:v>
                </c:pt>
              </c:numCache>
            </c:numRef>
          </c:yVal>
        </c:ser>
        <c:ser>
          <c:idx val="1"/>
          <c:order val="1"/>
          <c:tx>
            <c:strRef>
              <c:f>COMPARISON!$L$58</c:f>
              <c:strCache>
                <c:ptCount val="1"/>
                <c:pt idx="0">
                  <c:v>S14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COMPARISON!$M$58:$AF$58</c:f>
              <c:numCache>
                <c:formatCode>0.0000</c:formatCode>
                <c:ptCount val="20"/>
                <c:pt idx="0">
                  <c:v>2.0067505540417819E-4</c:v>
                </c:pt>
                <c:pt idx="1">
                  <c:v>5.3942700116897224E-4</c:v>
                </c:pt>
                <c:pt idx="2">
                  <c:v>8.1791399408193501E-4</c:v>
                </c:pt>
                <c:pt idx="3">
                  <c:v>1.8366150400579437E-3</c:v>
                </c:pt>
                <c:pt idx="4">
                  <c:v>4.1240947456257209E-3</c:v>
                </c:pt>
                <c:pt idx="5">
                  <c:v>7.924299720843242E-3</c:v>
                </c:pt>
                <c:pt idx="6">
                  <c:v>1.2015334087710975E-2</c:v>
                </c:pt>
                <c:pt idx="7">
                  <c:v>2.6980273545240654E-2</c:v>
                </c:pt>
                <c:pt idx="8">
                  <c:v>6.0583846879507824E-2</c:v>
                </c:pt>
                <c:pt idx="9">
                  <c:v>0.11640968273682373</c:v>
                </c:pt>
                <c:pt idx="10">
                  <c:v>0.17650786547717037</c:v>
                </c:pt>
                <c:pt idx="11">
                  <c:v>0.39634607399983202</c:v>
                </c:pt>
                <c:pt idx="12">
                  <c:v>0.88998985937767028</c:v>
                </c:pt>
                <c:pt idx="13">
                  <c:v>1.7100835041920828</c:v>
                </c:pt>
                <c:pt idx="14">
                  <c:v>2.5929388519601435</c:v>
                </c:pt>
                <c:pt idx="15">
                  <c:v>5.8224098473898209</c:v>
                </c:pt>
                <c:pt idx="16">
                  <c:v>13.074144191774797</c:v>
                </c:pt>
                <c:pt idx="17">
                  <c:v>25.121497821802809</c:v>
                </c:pt>
                <c:pt idx="18">
                  <c:v>38.090834489605186</c:v>
                </c:pt>
                <c:pt idx="19">
                  <c:v>65.922590584078179</c:v>
                </c:pt>
              </c:numCache>
            </c:numRef>
          </c:yVal>
        </c:ser>
        <c:ser>
          <c:idx val="2"/>
          <c:order val="2"/>
          <c:tx>
            <c:strRef>
              <c:f>COMPARISON!$L$59</c:f>
              <c:strCache>
                <c:ptCount val="1"/>
                <c:pt idx="0">
                  <c:v>S15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COMPARISON!$M$59:$AF$59</c:f>
              <c:numCache>
                <c:formatCode>0.0000</c:formatCode>
                <c:ptCount val="20"/>
                <c:pt idx="0">
                  <c:v>1.9723264104308703E-4</c:v>
                </c:pt>
                <c:pt idx="1">
                  <c:v>5.3103385202983881E-4</c:v>
                </c:pt>
                <c:pt idx="2">
                  <c:v>8.0573748923482534E-4</c:v>
                </c:pt>
                <c:pt idx="3">
                  <c:v>1.8116741695826054E-3</c:v>
                </c:pt>
                <c:pt idx="4">
                  <c:v>4.0734896173811709E-3</c:v>
                </c:pt>
                <c:pt idx="5">
                  <c:v>7.8354497321311816E-3</c:v>
                </c:pt>
                <c:pt idx="6">
                  <c:v>1.1888725304537349E-2</c:v>
                </c:pt>
                <c:pt idx="7">
                  <c:v>2.6731406731425145E-2</c:v>
                </c:pt>
                <c:pt idx="8">
                  <c:v>6.0104686376105297E-2</c:v>
                </c:pt>
                <c:pt idx="9">
                  <c:v>0.11561272839778367</c:v>
                </c:pt>
                <c:pt idx="10">
                  <c:v>0.17541915481799403</c:v>
                </c:pt>
                <c:pt idx="11">
                  <c:v>0.39442418390582301</c:v>
                </c:pt>
                <c:pt idx="12">
                  <c:v>0.88684976855113662</c:v>
                </c:pt>
                <c:pt idx="13">
                  <c:v>1.7058756580069614</c:v>
                </c:pt>
                <c:pt idx="14">
                  <c:v>2.5883245754963689</c:v>
                </c:pt>
                <c:pt idx="15">
                  <c:v>5.8197624394711793</c:v>
                </c:pt>
                <c:pt idx="16">
                  <c:v>13.085543896821424</c:v>
                </c:pt>
                <c:pt idx="17">
                  <c:v>25.170340678825017</c:v>
                </c:pt>
                <c:pt idx="18">
                  <c:v>38.19094964326689</c:v>
                </c:pt>
                <c:pt idx="19">
                  <c:v>66.155327155135979</c:v>
                </c:pt>
              </c:numCache>
            </c:numRef>
          </c:yVal>
        </c:ser>
        <c:ser>
          <c:idx val="3"/>
          <c:order val="3"/>
          <c:tx>
            <c:strRef>
              <c:f>COMPARISON!$L$60</c:f>
              <c:strCache>
                <c:ptCount val="1"/>
                <c:pt idx="0">
                  <c:v>S16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COMPARISON!$M$60:$AF$60</c:f>
              <c:numCache>
                <c:formatCode>0.0000</c:formatCode>
                <c:ptCount val="20"/>
                <c:pt idx="0">
                  <c:v>2.9047675657779777E-4</c:v>
                </c:pt>
                <c:pt idx="1">
                  <c:v>7.6800668304570388E-4</c:v>
                </c:pt>
                <c:pt idx="2">
                  <c:v>1.1564186953296732E-3</c:v>
                </c:pt>
                <c:pt idx="3">
                  <c:v>2.5618118476164E-3</c:v>
                </c:pt>
                <c:pt idx="4">
                  <c:v>5.6751762740370176E-3</c:v>
                </c:pt>
                <c:pt idx="5">
                  <c:v>1.0786130796884516E-2</c:v>
                </c:pt>
                <c:pt idx="6">
                  <c:v>1.62411129735523E-2</c:v>
                </c:pt>
                <c:pt idx="7">
                  <c:v>3.5978902625974571E-2</c:v>
                </c:pt>
                <c:pt idx="8">
                  <c:v>7.9703985575209441E-2</c:v>
                </c:pt>
                <c:pt idx="9">
                  <c:v>0.151483860929603</c:v>
                </c:pt>
                <c:pt idx="10">
                  <c:v>0.22809537037490646</c:v>
                </c:pt>
                <c:pt idx="11">
                  <c:v>0.50529918322213452</c:v>
                </c:pt>
                <c:pt idx="12">
                  <c:v>1.1193881933916003</c:v>
                </c:pt>
                <c:pt idx="13">
                  <c:v>2.1274876556074718</c:v>
                </c:pt>
                <c:pt idx="14">
                  <c:v>3.2034441279479839</c:v>
                </c:pt>
                <c:pt idx="15">
                  <c:v>7.0965828841212302</c:v>
                </c:pt>
                <c:pt idx="16">
                  <c:v>15.721044794204738</c:v>
                </c:pt>
                <c:pt idx="17">
                  <c:v>29.879115154488588</c:v>
                </c:pt>
                <c:pt idx="18">
                  <c:v>44.990191006583373</c:v>
                </c:pt>
                <c:pt idx="19">
                  <c:v>77.151727812311975</c:v>
                </c:pt>
              </c:numCache>
            </c:numRef>
          </c:yVal>
        </c:ser>
        <c:ser>
          <c:idx val="4"/>
          <c:order val="4"/>
          <c:tx>
            <c:strRef>
              <c:f>COMPARISON!$L$61</c:f>
              <c:strCache>
                <c:ptCount val="1"/>
                <c:pt idx="0">
                  <c:v>S17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COMPARISON!$M$61:$AF$61</c:f>
              <c:numCache>
                <c:formatCode>0.0000</c:formatCode>
                <c:ptCount val="20"/>
                <c:pt idx="0">
                  <c:v>2.7092024661031763E-4</c:v>
                </c:pt>
                <c:pt idx="1">
                  <c:v>7.0800159210079991E-4</c:v>
                </c:pt>
                <c:pt idx="2">
                  <c:v>1.0608499227295926E-3</c:v>
                </c:pt>
                <c:pt idx="3">
                  <c:v>2.3278016067837916E-3</c:v>
                </c:pt>
                <c:pt idx="4">
                  <c:v>5.1078481549990604E-3</c:v>
                </c:pt>
                <c:pt idx="5">
                  <c:v>9.6334481887396257E-3</c:v>
                </c:pt>
                <c:pt idx="6">
                  <c:v>1.443449122242794E-2</c:v>
                </c:pt>
                <c:pt idx="7">
                  <c:v>3.1673313199871905E-2</c:v>
                </c:pt>
                <c:pt idx="8">
                  <c:v>6.9500112861507951E-2</c:v>
                </c:pt>
                <c:pt idx="9">
                  <c:v>0.13107784649150689</c:v>
                </c:pt>
                <c:pt idx="10">
                  <c:v>0.19640340484189053</c:v>
                </c:pt>
                <c:pt idx="11">
                  <c:v>0.43096403324648036</c:v>
                </c:pt>
                <c:pt idx="12">
                  <c:v>0.94565569319732334</c:v>
                </c:pt>
                <c:pt idx="13">
                  <c:v>1.7835152589426995</c:v>
                </c:pt>
                <c:pt idx="14">
                  <c:v>2.6723697315740456</c:v>
                </c:pt>
                <c:pt idx="15">
                  <c:v>5.863927047354947</c:v>
                </c:pt>
                <c:pt idx="16">
                  <c:v>12.867096947864066</c:v>
                </c:pt>
                <c:pt idx="17">
                  <c:v>24.267462153397076</c:v>
                </c:pt>
                <c:pt idx="18">
                  <c:v>36.361691325984104</c:v>
                </c:pt>
                <c:pt idx="19">
                  <c:v>61.953322517320935</c:v>
                </c:pt>
              </c:numCache>
            </c:numRef>
          </c:yVal>
        </c:ser>
        <c:ser>
          <c:idx val="5"/>
          <c:order val="5"/>
          <c:tx>
            <c:strRef>
              <c:f>COMPARISON!$L$62</c:f>
              <c:strCache>
                <c:ptCount val="1"/>
                <c:pt idx="0">
                  <c:v>S18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COMPARISON!$M$62:$AF$62</c:f>
              <c:numCache>
                <c:formatCode>0.0000</c:formatCode>
                <c:ptCount val="20"/>
                <c:pt idx="0">
                  <c:v>4.3320533521260001E-4</c:v>
                </c:pt>
                <c:pt idx="1">
                  <c:v>1.1115490914640372E-3</c:v>
                </c:pt>
                <c:pt idx="2">
                  <c:v>1.6527167553608937E-3</c:v>
                </c:pt>
                <c:pt idx="3">
                  <c:v>3.5725665299443468E-3</c:v>
                </c:pt>
                <c:pt idx="4">
                  <c:v>7.7225765210395111E-3</c:v>
                </c:pt>
                <c:pt idx="5">
                  <c:v>1.438964338865293E-2</c:v>
                </c:pt>
                <c:pt idx="6">
                  <c:v>2.1395370582122798E-2</c:v>
                </c:pt>
                <c:pt idx="7">
                  <c:v>4.6248932002118277E-2</c:v>
                </c:pt>
                <c:pt idx="8">
                  <c:v>9.9973202292827648E-2</c:v>
                </c:pt>
                <c:pt idx="9">
                  <c:v>0.18628222400855046</c:v>
                </c:pt>
                <c:pt idx="10">
                  <c:v>0.27697539875573146</c:v>
                </c:pt>
                <c:pt idx="11">
                  <c:v>0.59871907028415461</c:v>
                </c:pt>
                <c:pt idx="12">
                  <c:v>1.2942107015000863</c:v>
                </c:pt>
                <c:pt idx="13">
                  <c:v>2.4115307130498866</c:v>
                </c:pt>
                <c:pt idx="14">
                  <c:v>3.5856061114453261</c:v>
                </c:pt>
                <c:pt idx="15">
                  <c:v>7.7507633063938206</c:v>
                </c:pt>
                <c:pt idx="16">
                  <c:v>16.754303167875207</c:v>
                </c:pt>
                <c:pt idx="17">
                  <c:v>31.218654441853438</c:v>
                </c:pt>
                <c:pt idx="18">
                  <c:v>46.417736897176205</c:v>
                </c:pt>
                <c:pt idx="19">
                  <c:v>78.287091754181276</c:v>
                </c:pt>
              </c:numCache>
            </c:numRef>
          </c:yVal>
        </c:ser>
        <c:ser>
          <c:idx val="6"/>
          <c:order val="6"/>
          <c:tx>
            <c:strRef>
              <c:f>COMPARISON!$L$63</c:f>
              <c:strCache>
                <c:ptCount val="1"/>
                <c:pt idx="0">
                  <c:v>S19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COMPARISON!$M$63:$AF$63</c:f>
              <c:numCache>
                <c:formatCode>0.0000</c:formatCode>
                <c:ptCount val="20"/>
                <c:pt idx="0">
                  <c:v>3.9531908060827368E-4</c:v>
                </c:pt>
                <c:pt idx="1">
                  <c:v>1.0629965674109482E-3</c:v>
                </c:pt>
                <c:pt idx="2">
                  <c:v>1.6120101502998558E-3</c:v>
                </c:pt>
                <c:pt idx="3">
                  <c:v>3.6207348516797328E-3</c:v>
                </c:pt>
                <c:pt idx="4">
                  <c:v>8.1325299742869318E-3</c:v>
                </c:pt>
                <c:pt idx="5">
                  <c:v>1.56298052046276E-2</c:v>
                </c:pt>
                <c:pt idx="6">
                  <c:v>2.37022445880853E-2</c:v>
                </c:pt>
                <c:pt idx="7">
                  <c:v>5.3237594705687299E-2</c:v>
                </c:pt>
                <c:pt idx="8">
                  <c:v>0.11957692359109982</c:v>
                </c:pt>
                <c:pt idx="9">
                  <c:v>0.22981335803332326</c:v>
                </c:pt>
                <c:pt idx="10">
                  <c:v>0.34850673763370094</c:v>
                </c:pt>
                <c:pt idx="11">
                  <c:v>0.78278073544439519</c:v>
                </c:pt>
                <c:pt idx="12">
                  <c:v>1.7582032529508624</c:v>
                </c:pt>
                <c:pt idx="13">
                  <c:v>3.3790683146143916</c:v>
                </c:pt>
                <c:pt idx="14">
                  <c:v>5.1242803492602755</c:v>
                </c:pt>
                <c:pt idx="15">
                  <c:v>11.509642446663904</c:v>
                </c:pt>
                <c:pt idx="16">
                  <c:v>25.851799710601529</c:v>
                </c:pt>
                <c:pt idx="17">
                  <c:v>49.684242780940977</c:v>
                </c:pt>
                <c:pt idx="18">
                  <c:v>75.345025683301643</c:v>
                </c:pt>
                <c:pt idx="19">
                  <c:v>130.42134753098247</c:v>
                </c:pt>
              </c:numCache>
            </c:numRef>
          </c:yVal>
        </c:ser>
        <c:ser>
          <c:idx val="7"/>
          <c:order val="7"/>
          <c:tx>
            <c:strRef>
              <c:f>COMPARISON!$L$64</c:f>
              <c:strCache>
                <c:ptCount val="1"/>
                <c:pt idx="0">
                  <c:v>S20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COMPARISON!$M$64:$AF$64</c:f>
              <c:numCache>
                <c:formatCode>0.0000</c:formatCode>
                <c:ptCount val="20"/>
                <c:pt idx="0">
                  <c:v>3.289755595449173E-4</c:v>
                </c:pt>
                <c:pt idx="1">
                  <c:v>8.9067316023946767E-4</c:v>
                </c:pt>
                <c:pt idx="2">
                  <c:v>1.3545803953832767E-3</c:v>
                </c:pt>
                <c:pt idx="3">
                  <c:v>3.0595948833228187E-3</c:v>
                </c:pt>
                <c:pt idx="4">
                  <c:v>6.9107163236379861E-3</c:v>
                </c:pt>
                <c:pt idx="5">
                  <c:v>1.3341755716031281E-2</c:v>
                </c:pt>
                <c:pt idx="6">
                  <c:v>2.0290810972758873E-2</c:v>
                </c:pt>
                <c:pt idx="7">
                  <c:v>4.5830916822886425E-2</c:v>
                </c:pt>
                <c:pt idx="8">
                  <c:v>0.10351843204523924</c:v>
                </c:pt>
                <c:pt idx="9">
                  <c:v>0.19985158813856635</c:v>
                </c:pt>
                <c:pt idx="10">
                  <c:v>0.30394431466412569</c:v>
                </c:pt>
                <c:pt idx="11">
                  <c:v>0.68651995343420913</c:v>
                </c:pt>
                <c:pt idx="12">
                  <c:v>1.5506447191951271</c:v>
                </c:pt>
                <c:pt idx="13">
                  <c:v>2.9936582659443491</c:v>
                </c:pt>
                <c:pt idx="14">
                  <c:v>4.552905575862459</c:v>
                </c:pt>
                <c:pt idx="15">
                  <c:v>10.283661753586223</c:v>
                </c:pt>
                <c:pt idx="16">
                  <c:v>23.227738265171272</c:v>
                </c:pt>
                <c:pt idx="17">
                  <c:v>44.843225399055207</c:v>
                </c:pt>
                <c:pt idx="18">
                  <c:v>68.199825371387746</c:v>
                </c:pt>
                <c:pt idx="19">
                  <c:v>118.50187005319137</c:v>
                </c:pt>
              </c:numCache>
            </c:numRef>
          </c:yVal>
        </c:ser>
        <c:ser>
          <c:idx val="8"/>
          <c:order val="8"/>
          <c:tx>
            <c:strRef>
              <c:f>COMPARISON!$L$65</c:f>
              <c:strCache>
                <c:ptCount val="1"/>
                <c:pt idx="0">
                  <c:v>S21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COMPARISON!$M$65:$AF$65</c:f>
              <c:numCache>
                <c:formatCode>0.0000</c:formatCode>
                <c:ptCount val="20"/>
                <c:pt idx="0">
                  <c:v>3.7271730568273434E-4</c:v>
                </c:pt>
                <c:pt idx="1">
                  <c:v>9.8131587265764967E-4</c:v>
                </c:pt>
                <c:pt idx="2">
                  <c:v>1.4749963955951394E-3</c:v>
                </c:pt>
                <c:pt idx="3">
                  <c:v>3.2563467559079472E-3</c:v>
                </c:pt>
                <c:pt idx="4">
                  <c:v>7.1890305809417347E-3</c:v>
                </c:pt>
                <c:pt idx="5">
                  <c:v>1.3625477452941159E-2</c:v>
                </c:pt>
                <c:pt idx="6">
                  <c:v>2.0480184506668553E-2</c:v>
                </c:pt>
                <c:pt idx="7">
                  <c:v>4.5214064643037746E-2</c:v>
                </c:pt>
                <c:pt idx="8">
                  <c:v>9.981900509144162E-2</c:v>
                </c:pt>
                <c:pt idx="9">
                  <c:v>0.18918845704371612</c:v>
                </c:pt>
                <c:pt idx="10">
                  <c:v>0.28436541179339481</c:v>
                </c:pt>
                <c:pt idx="11">
                  <c:v>0.62779298237690107</c:v>
                </c:pt>
                <c:pt idx="12">
                  <c:v>1.385977381131128</c:v>
                </c:pt>
                <c:pt idx="13">
                  <c:v>2.6268637119102283</c:v>
                </c:pt>
                <c:pt idx="14">
                  <c:v>3.9483866660526075</c:v>
                </c:pt>
                <c:pt idx="15">
                  <c:v>8.7168457831267538</c:v>
                </c:pt>
                <c:pt idx="16">
                  <c:v>19.244163967046045</c:v>
                </c:pt>
                <c:pt idx="17">
                  <c:v>36.473752515230103</c:v>
                </c:pt>
                <c:pt idx="18">
                  <c:v>54.82297290075735</c:v>
                </c:pt>
                <c:pt idx="19">
                  <c:v>93.794726330792386</c:v>
                </c:pt>
              </c:numCache>
            </c:numRef>
          </c:yVal>
        </c:ser>
        <c:ser>
          <c:idx val="9"/>
          <c:order val="9"/>
          <c:tx>
            <c:strRef>
              <c:f>COMPARISON!$L$66</c:f>
              <c:strCache>
                <c:ptCount val="1"/>
                <c:pt idx="0">
                  <c:v>S22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COMPARISON!$M$66:$AF$66</c:f>
              <c:numCache>
                <c:formatCode>0.0000</c:formatCode>
                <c:ptCount val="20"/>
                <c:pt idx="0">
                  <c:v>3.6856434128334332E-4</c:v>
                </c:pt>
                <c:pt idx="1">
                  <c:v>9.896792719276805E-4</c:v>
                </c:pt>
                <c:pt idx="2">
                  <c:v>1.4999492985518382E-3</c:v>
                </c:pt>
                <c:pt idx="3">
                  <c:v>3.3652109642660463E-3</c:v>
                </c:pt>
                <c:pt idx="4">
                  <c:v>7.5500184205893788E-3</c:v>
                </c:pt>
                <c:pt idx="5">
                  <c:v>1.4496984977151125E-2</c:v>
                </c:pt>
                <c:pt idx="6">
                  <c:v>2.1971504369532081E-2</c:v>
                </c:pt>
                <c:pt idx="7">
                  <c:v>4.9294164460862044E-2</c:v>
                </c:pt>
                <c:pt idx="8">
                  <c:v>0.11059391332639389</c:v>
                </c:pt>
                <c:pt idx="9">
                  <c:v>0.21235422362478526</c:v>
                </c:pt>
                <c:pt idx="10">
                  <c:v>0.32184221475115543</c:v>
                </c:pt>
                <c:pt idx="11">
                  <c:v>0.72206903986017168</c:v>
                </c:pt>
                <c:pt idx="12">
                  <c:v>1.6199978574212703</c:v>
                </c:pt>
                <c:pt idx="13">
                  <c:v>3.1105996427780802</c:v>
                </c:pt>
                <c:pt idx="14">
                  <c:v>4.7143977696660366</c:v>
                </c:pt>
                <c:pt idx="15">
                  <c:v>10.576986221940155</c:v>
                </c:pt>
                <c:pt idx="16">
                  <c:v>23.7299954320649</c:v>
                </c:pt>
                <c:pt idx="17">
                  <c:v>45.564575888764004</c:v>
                </c:pt>
                <c:pt idx="18">
                  <c:v>69.057274999852069</c:v>
                </c:pt>
                <c:pt idx="19">
                  <c:v>119.44530578838111</c:v>
                </c:pt>
              </c:numCache>
            </c:numRef>
          </c:yVal>
        </c:ser>
        <c:ser>
          <c:idx val="10"/>
          <c:order val="10"/>
          <c:tx>
            <c:strRef>
              <c:f>COMPARISON!$L$67</c:f>
              <c:strCache>
                <c:ptCount val="1"/>
                <c:pt idx="0">
                  <c:v>S23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COMPARISON!$M$67:$AF$67</c:f>
              <c:numCache>
                <c:formatCode>0.0000</c:formatCode>
                <c:ptCount val="20"/>
                <c:pt idx="0">
                  <c:v>2.9960718810426667E-4</c:v>
                </c:pt>
                <c:pt idx="1">
                  <c:v>8.1059321983681625E-4</c:v>
                </c:pt>
                <c:pt idx="2">
                  <c:v>1.232427611223566E-3</c:v>
                </c:pt>
                <c:pt idx="3">
                  <c:v>2.7820944693626726E-3</c:v>
                </c:pt>
                <c:pt idx="4">
                  <c:v>6.2803280013939353E-3</c:v>
                </c:pt>
                <c:pt idx="5">
                  <c:v>1.211913061237448E-2</c:v>
                </c:pt>
                <c:pt idx="6">
                  <c:v>1.8425951297399136E-2</c:v>
                </c:pt>
                <c:pt idx="7">
                  <c:v>4.1594927548195673E-2</c:v>
                </c:pt>
                <c:pt idx="8">
                  <c:v>9.3896807270073865E-2</c:v>
                </c:pt>
                <c:pt idx="9">
                  <c:v>0.18119239490969458</c:v>
                </c:pt>
                <c:pt idx="10">
                  <c:v>0.27548529270376415</c:v>
                </c:pt>
                <c:pt idx="11">
                  <c:v>0.62188326701069851</c:v>
                </c:pt>
                <c:pt idx="12">
                  <c:v>1.4038455337932239</c:v>
                </c:pt>
                <c:pt idx="13">
                  <c:v>2.7089966288166156</c:v>
                </c:pt>
                <c:pt idx="14">
                  <c:v>4.1187640882775582</c:v>
                </c:pt>
                <c:pt idx="15">
                  <c:v>9.2977394260342709</c:v>
                </c:pt>
                <c:pt idx="16">
                  <c:v>20.988810376508944</c:v>
                </c:pt>
                <c:pt idx="17">
                  <c:v>40.502046118421916</c:v>
                </c:pt>
                <c:pt idx="18">
                  <c:v>61.579394850406203</c:v>
                </c:pt>
                <c:pt idx="19">
                  <c:v>106.95688113695203</c:v>
                </c:pt>
              </c:numCache>
            </c:numRef>
          </c:yVal>
        </c:ser>
        <c:ser>
          <c:idx val="11"/>
          <c:order val="11"/>
          <c:tx>
            <c:strRef>
              <c:f>COMPARISON!$L$68</c:f>
              <c:strCache>
                <c:ptCount val="1"/>
                <c:pt idx="0">
                  <c:v>S24</c:v>
                </c:pt>
              </c:strCache>
            </c:strRef>
          </c:tx>
          <c:xVal>
            <c:numRef>
              <c:f>COMPARISON!$M$11:$AF$11</c:f>
              <c:numCache>
                <c:formatCode>General</c:formatCode>
                <c:ptCount val="20"/>
                <c:pt idx="0">
                  <c:v>2.9999999999999997E-4</c:v>
                </c:pt>
                <c:pt idx="1">
                  <c:v>6.9999999999999999E-4</c:v>
                </c:pt>
                <c:pt idx="2">
                  <c:v>1E-3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0.02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</c:v>
                </c:pt>
                <c:pt idx="11">
                  <c:v>0.2</c:v>
                </c:pt>
                <c:pt idx="12">
                  <c:v>0.4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16</c:v>
                </c:pt>
              </c:numCache>
            </c:numRef>
          </c:xVal>
          <c:yVal>
            <c:numRef>
              <c:f>COMPARISON!$M$68:$AF$68</c:f>
              <c:numCache>
                <c:formatCode>0.0000</c:formatCode>
                <c:ptCount val="20"/>
                <c:pt idx="0">
                  <c:v>4.0892617005838978E-4</c:v>
                </c:pt>
                <c:pt idx="1">
                  <c:v>9.6155224379805158E-4</c:v>
                </c:pt>
                <c:pt idx="2">
                  <c:v>1.3781152885398685E-3</c:v>
                </c:pt>
                <c:pt idx="3">
                  <c:v>2.773684449785728E-3</c:v>
                </c:pt>
                <c:pt idx="4">
                  <c:v>5.5824976988205367E-3</c:v>
                </c:pt>
                <c:pt idx="5">
                  <c:v>9.8192873477116627E-3</c:v>
                </c:pt>
                <c:pt idx="6">
                  <c:v>1.4073192698294663E-2</c:v>
                </c:pt>
                <c:pt idx="7">
                  <c:v>2.8324622816902085E-2</c:v>
                </c:pt>
                <c:pt idx="8">
                  <c:v>5.7007977856865011E-2</c:v>
                </c:pt>
                <c:pt idx="9">
                  <c:v>0.10027370289947635</c:v>
                </c:pt>
                <c:pt idx="10">
                  <c:v>0.14371421198960441</c:v>
                </c:pt>
                <c:pt idx="11">
                  <c:v>0.28924856891408512</c:v>
                </c:pt>
                <c:pt idx="12">
                  <c:v>0.58216047988975173</c:v>
                </c:pt>
                <c:pt idx="13">
                  <c:v>1.0239862769181196</c:v>
                </c:pt>
                <c:pt idx="14">
                  <c:v>1.4675969533406426</c:v>
                </c:pt>
                <c:pt idx="15">
                  <c:v>2.9537810674365108</c:v>
                </c:pt>
                <c:pt idx="16">
                  <c:v>5.9449718633486954</c:v>
                </c:pt>
                <c:pt idx="17">
                  <c:v>10.456858228999399</c:v>
                </c:pt>
                <c:pt idx="18">
                  <c:v>14.986971626790341</c:v>
                </c:pt>
                <c:pt idx="19">
                  <c:v>24.082014054034559</c:v>
                </c:pt>
              </c:numCache>
            </c:numRef>
          </c:yVal>
        </c:ser>
        <c:axId val="65337216"/>
        <c:axId val="65413120"/>
      </c:scatterChart>
      <c:valAx>
        <c:axId val="65337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Rads, Qsum/70E-9</a:t>
                </a:r>
              </a:p>
            </c:rich>
          </c:tx>
          <c:layout/>
        </c:title>
        <c:numFmt formatCode="General" sourceLinked="1"/>
        <c:tickLblPos val="nextTo"/>
        <c:crossAx val="65413120"/>
        <c:crosses val="autoZero"/>
        <c:crossBetween val="midCat"/>
      </c:valAx>
      <c:valAx>
        <c:axId val="65413120"/>
        <c:scaling>
          <c:orientation val="minMax"/>
          <c:max val="14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Rads/Sec, based on C1, C2, Q sum</a:t>
                </a:r>
              </a:p>
            </c:rich>
          </c:tx>
          <c:layout/>
        </c:title>
        <c:numFmt formatCode="0.0000" sourceLinked="1"/>
        <c:tickLblPos val="nextTo"/>
        <c:crossAx val="653372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Variety of Scale Factors, 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COMPARISON!$I$11</c:f>
              <c:strCache>
                <c:ptCount val="1"/>
                <c:pt idx="0">
                  <c:v>m</c:v>
                </c:pt>
              </c:strCache>
            </c:strRef>
          </c:tx>
          <c:val>
            <c:numRef>
              <c:f>COMPARISON!$I$12:$I$68</c:f>
              <c:numCache>
                <c:formatCode>0.000000</c:formatCode>
                <c:ptCount val="57"/>
                <c:pt idx="0">
                  <c:v>1.5803081670982388</c:v>
                </c:pt>
                <c:pt idx="1">
                  <c:v>1.4529089887612952</c:v>
                </c:pt>
                <c:pt idx="2">
                  <c:v>2.4209487289866023</c:v>
                </c:pt>
                <c:pt idx="3">
                  <c:v>2.9302187289490194</c:v>
                </c:pt>
                <c:pt idx="4">
                  <c:v>3.2415104325714301</c:v>
                </c:pt>
                <c:pt idx="5">
                  <c:v>7.5162827374553558</c:v>
                </c:pt>
                <c:pt idx="6">
                  <c:v>5.8561049169686257</c:v>
                </c:pt>
                <c:pt idx="7">
                  <c:v>7.7619573023598081</c:v>
                </c:pt>
                <c:pt idx="8">
                  <c:v>6.5722499376863697</c:v>
                </c:pt>
                <c:pt idx="9">
                  <c:v>4.0265572777679992</c:v>
                </c:pt>
                <c:pt idx="10">
                  <c:v>4.868799785884967</c:v>
                </c:pt>
                <c:pt idx="11">
                  <c:v>4.1922780189723481</c:v>
                </c:pt>
                <c:pt idx="12">
                  <c:v>5.5440464798144511</c:v>
                </c:pt>
                <c:pt idx="13">
                  <c:v>4.8982540534892198</c:v>
                </c:pt>
                <c:pt idx="14">
                  <c:v>0.78534555445397825</c:v>
                </c:pt>
                <c:pt idx="15">
                  <c:v>1.4233325698660781</c:v>
                </c:pt>
                <c:pt idx="16">
                  <c:v>1.6219816581740296</c:v>
                </c:pt>
                <c:pt idx="17">
                  <c:v>2.4017573255264959</c:v>
                </c:pt>
                <c:pt idx="18">
                  <c:v>2.5553459226322017</c:v>
                </c:pt>
                <c:pt idx="19">
                  <c:v>2.199139777415116</c:v>
                </c:pt>
                <c:pt idx="20">
                  <c:v>3.2007698798101711</c:v>
                </c:pt>
                <c:pt idx="21">
                  <c:v>3.2084740793735449</c:v>
                </c:pt>
                <c:pt idx="22">
                  <c:v>4.1180085080922826</c:v>
                </c:pt>
                <c:pt idx="23">
                  <c:v>4.0926763685720724</c:v>
                </c:pt>
                <c:pt idx="24">
                  <c:v>2.8822383653215806</c:v>
                </c:pt>
                <c:pt idx="25">
                  <c:v>3.4881432516028186</c:v>
                </c:pt>
                <c:pt idx="26">
                  <c:v>4.9189199383062183</c:v>
                </c:pt>
                <c:pt idx="27">
                  <c:v>4.9692419464819855</c:v>
                </c:pt>
                <c:pt idx="28">
                  <c:v>4.6929938271832645</c:v>
                </c:pt>
                <c:pt idx="29">
                  <c:v>4.7910321902927233</c:v>
                </c:pt>
                <c:pt idx="30">
                  <c:v>6.9645208412878068</c:v>
                </c:pt>
                <c:pt idx="31">
                  <c:v>5.0848510377629994</c:v>
                </c:pt>
                <c:pt idx="32">
                  <c:v>4.3455961261854616</c:v>
                </c:pt>
                <c:pt idx="33">
                  <c:v>3.5795498988979508</c:v>
                </c:pt>
                <c:pt idx="34">
                  <c:v>4.4169650148198745</c:v>
                </c:pt>
                <c:pt idx="35">
                  <c:v>6.2873396987393386</c:v>
                </c:pt>
                <c:pt idx="36">
                  <c:v>5.363447239933782</c:v>
                </c:pt>
                <c:pt idx="37">
                  <c:v>4.5927722377844553</c:v>
                </c:pt>
                <c:pt idx="38">
                  <c:v>1.8654001280367667</c:v>
                </c:pt>
                <c:pt idx="39">
                  <c:v>1.2050520565288243</c:v>
                </c:pt>
                <c:pt idx="40">
                  <c:v>1.7837256571278521</c:v>
                </c:pt>
                <c:pt idx="41">
                  <c:v>2.9785042299871871</c:v>
                </c:pt>
                <c:pt idx="42">
                  <c:v>2.1483761372026726</c:v>
                </c:pt>
                <c:pt idx="43">
                  <c:v>1.9345241062591811</c:v>
                </c:pt>
                <c:pt idx="44">
                  <c:v>4.4092880260189586</c:v>
                </c:pt>
                <c:pt idx="45">
                  <c:v>3.3736085518993062</c:v>
                </c:pt>
                <c:pt idx="46">
                  <c:v>3.9364613647215831</c:v>
                </c:pt>
                <c:pt idx="47">
                  <c:v>3.9484080838746642</c:v>
                </c:pt>
                <c:pt idx="48">
                  <c:v>4.6304360334804082</c:v>
                </c:pt>
                <c:pt idx="49">
                  <c:v>3.7317317043600173</c:v>
                </c:pt>
                <c:pt idx="50">
                  <c:v>4.7427788736897414</c:v>
                </c:pt>
                <c:pt idx="51">
                  <c:v>7.7871093997747263</c:v>
                </c:pt>
                <c:pt idx="52">
                  <c:v>7.0607333190162507</c:v>
                </c:pt>
                <c:pt idx="53">
                  <c:v>5.6366209666570137</c:v>
                </c:pt>
                <c:pt idx="54">
                  <c:v>7.1347790732015897</c:v>
                </c:pt>
                <c:pt idx="55">
                  <c:v>6.3741976063745449</c:v>
                </c:pt>
                <c:pt idx="56">
                  <c:v>1.5011866937571576</c:v>
                </c:pt>
              </c:numCache>
            </c:numRef>
          </c:val>
        </c:ser>
        <c:marker val="1"/>
        <c:axId val="65458176"/>
        <c:axId val="65459712"/>
      </c:lineChart>
      <c:catAx>
        <c:axId val="65458176"/>
        <c:scaling>
          <c:orientation val="minMax"/>
        </c:scaling>
        <c:axPos val="b"/>
        <c:tickLblPos val="nextTo"/>
        <c:crossAx val="65459712"/>
        <c:crosses val="autoZero"/>
        <c:auto val="1"/>
        <c:lblAlgn val="ctr"/>
        <c:lblOffset val="100"/>
      </c:catAx>
      <c:valAx>
        <c:axId val="65459712"/>
        <c:scaling>
          <c:orientation val="minMax"/>
        </c:scaling>
        <c:axPos val="l"/>
        <c:majorGridlines/>
        <c:numFmt formatCode="0.000000" sourceLinked="1"/>
        <c:tickLblPos val="nextTo"/>
        <c:crossAx val="65458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'BLM ALARMS'!$D$4:$D$51</c:f>
              <c:numCache>
                <c:formatCode>General</c:formatCode>
                <c:ptCount val="48"/>
                <c:pt idx="0">
                  <c:v>25</c:v>
                </c:pt>
                <c:pt idx="1">
                  <c:v>340</c:v>
                </c:pt>
                <c:pt idx="2">
                  <c:v>28</c:v>
                </c:pt>
                <c:pt idx="3">
                  <c:v>1300</c:v>
                </c:pt>
                <c:pt idx="4">
                  <c:v>150</c:v>
                </c:pt>
                <c:pt idx="5">
                  <c:v>163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300</c:v>
                </c:pt>
                <c:pt idx="10">
                  <c:v>600</c:v>
                </c:pt>
                <c:pt idx="11">
                  <c:v>1800</c:v>
                </c:pt>
                <c:pt idx="12">
                  <c:v>280</c:v>
                </c:pt>
                <c:pt idx="13">
                  <c:v>200</c:v>
                </c:pt>
                <c:pt idx="14">
                  <c:v>100</c:v>
                </c:pt>
                <c:pt idx="15">
                  <c:v>120</c:v>
                </c:pt>
                <c:pt idx="16">
                  <c:v>40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28</c:v>
                </c:pt>
                <c:pt idx="21">
                  <c:v>85</c:v>
                </c:pt>
                <c:pt idx="22">
                  <c:v>26</c:v>
                </c:pt>
                <c:pt idx="23">
                  <c:v>100</c:v>
                </c:pt>
                <c:pt idx="24">
                  <c:v>500</c:v>
                </c:pt>
                <c:pt idx="25">
                  <c:v>500</c:v>
                </c:pt>
                <c:pt idx="26">
                  <c:v>55</c:v>
                </c:pt>
                <c:pt idx="27">
                  <c:v>118</c:v>
                </c:pt>
                <c:pt idx="28">
                  <c:v>40</c:v>
                </c:pt>
                <c:pt idx="29">
                  <c:v>190</c:v>
                </c:pt>
                <c:pt idx="30">
                  <c:v>50</c:v>
                </c:pt>
                <c:pt idx="31">
                  <c:v>120</c:v>
                </c:pt>
                <c:pt idx="32">
                  <c:v>25</c:v>
                </c:pt>
                <c:pt idx="33">
                  <c:v>120</c:v>
                </c:pt>
                <c:pt idx="34">
                  <c:v>42</c:v>
                </c:pt>
                <c:pt idx="35">
                  <c:v>288</c:v>
                </c:pt>
                <c:pt idx="36">
                  <c:v>95</c:v>
                </c:pt>
                <c:pt idx="37">
                  <c:v>300</c:v>
                </c:pt>
                <c:pt idx="38">
                  <c:v>75</c:v>
                </c:pt>
                <c:pt idx="39">
                  <c:v>100</c:v>
                </c:pt>
                <c:pt idx="40">
                  <c:v>50</c:v>
                </c:pt>
                <c:pt idx="41">
                  <c:v>225</c:v>
                </c:pt>
                <c:pt idx="42">
                  <c:v>43</c:v>
                </c:pt>
                <c:pt idx="43">
                  <c:v>225</c:v>
                </c:pt>
                <c:pt idx="44">
                  <c:v>50</c:v>
                </c:pt>
                <c:pt idx="45">
                  <c:v>135</c:v>
                </c:pt>
                <c:pt idx="46">
                  <c:v>38</c:v>
                </c:pt>
                <c:pt idx="47">
                  <c:v>225</c:v>
                </c:pt>
              </c:numCache>
            </c:numRef>
          </c:xVal>
          <c:yVal>
            <c:numRef>
              <c:f>'BLM ALARMS'!$F$4:$F$51</c:f>
              <c:numCache>
                <c:formatCode>0.000</c:formatCode>
                <c:ptCount val="48"/>
                <c:pt idx="0">
                  <c:v>6.2087779399124798</c:v>
                </c:pt>
                <c:pt idx="1">
                  <c:v>94.984009052276946</c:v>
                </c:pt>
                <c:pt idx="2">
                  <c:v>5.7509039663479689</c:v>
                </c:pt>
                <c:pt idx="3">
                  <c:v>294.31974118839935</c:v>
                </c:pt>
                <c:pt idx="4">
                  <c:v>35.78006976664431</c:v>
                </c:pt>
                <c:pt idx="5">
                  <c:v>25.925114247076994</c:v>
                </c:pt>
                <c:pt idx="6">
                  <c:v>9.0186834078767326</c:v>
                </c:pt>
                <c:pt idx="7">
                  <c:v>18.644725216171722</c:v>
                </c:pt>
                <c:pt idx="8">
                  <c:v>10.207718802250167</c:v>
                </c:pt>
                <c:pt idx="9">
                  <c:v>65.320025567982327</c:v>
                </c:pt>
                <c:pt idx="10">
                  <c:v>763.99490211306772</c:v>
                </c:pt>
                <c:pt idx="11">
                  <c:v>964.9404291048287</c:v>
                </c:pt>
                <c:pt idx="12">
                  <c:v>196.72141699556929</c:v>
                </c:pt>
                <c:pt idx="13">
                  <c:v>165.96793384686123</c:v>
                </c:pt>
                <c:pt idx="14">
                  <c:v>61.652978315782256</c:v>
                </c:pt>
                <c:pt idx="15">
                  <c:v>67.27491950372206</c:v>
                </c:pt>
                <c:pt idx="16">
                  <c:v>16.654471946382628</c:v>
                </c:pt>
                <c:pt idx="17">
                  <c:v>33.573898936658615</c:v>
                </c:pt>
                <c:pt idx="18">
                  <c:v>39.133644926238539</c:v>
                </c:pt>
                <c:pt idx="19">
                  <c:v>46.546783995751596</c:v>
                </c:pt>
                <c:pt idx="20">
                  <c:v>12.73225116818695</c:v>
                </c:pt>
                <c:pt idx="21">
                  <c:v>43.938454798770017</c:v>
                </c:pt>
                <c:pt idx="22">
                  <c:v>8.1230456972251908</c:v>
                </c:pt>
                <c:pt idx="23">
                  <c:v>22.679398444806885</c:v>
                </c:pt>
                <c:pt idx="24">
                  <c:v>155.83731943305119</c:v>
                </c:pt>
                <c:pt idx="25">
                  <c:v>148.20925199472396</c:v>
                </c:pt>
                <c:pt idx="26">
                  <c:v>13.355970462887512</c:v>
                </c:pt>
                <c:pt idx="27">
                  <c:v>29.976161091662554</c:v>
                </c:pt>
                <c:pt idx="28">
                  <c:v>9.7735555899710516</c:v>
                </c:pt>
                <c:pt idx="29">
                  <c:v>48.120659254032475</c:v>
                </c:pt>
                <c:pt idx="30">
                  <c:v>17.347628357733466</c:v>
                </c:pt>
                <c:pt idx="31">
                  <c:v>25.915485956903183</c:v>
                </c:pt>
                <c:pt idx="32">
                  <c:v>7.1671368394954476</c:v>
                </c:pt>
                <c:pt idx="33">
                  <c:v>32.156652596379431</c:v>
                </c:pt>
                <c:pt idx="34">
                  <c:v>8.5384597689675523</c:v>
                </c:pt>
                <c:pt idx="35">
                  <c:v>60.723893664463539</c:v>
                </c:pt>
                <c:pt idx="36">
                  <c:v>19.117604057748892</c:v>
                </c:pt>
                <c:pt idx="37">
                  <c:v>38.52520679992999</c:v>
                </c:pt>
                <c:pt idx="38">
                  <c:v>15.981269688780948</c:v>
                </c:pt>
                <c:pt idx="39">
                  <c:v>14.162834861738226</c:v>
                </c:pt>
                <c:pt idx="40">
                  <c:v>10.436164486915104</c:v>
                </c:pt>
                <c:pt idx="41">
                  <c:v>39.917532388814102</c:v>
                </c:pt>
                <c:pt idx="42">
                  <c:v>6.1741505237636547</c:v>
                </c:pt>
                <c:pt idx="43">
                  <c:v>31.535664621362375</c:v>
                </c:pt>
                <c:pt idx="44">
                  <c:v>9.8331297472967307</c:v>
                </c:pt>
                <c:pt idx="45">
                  <c:v>21.179136314348437</c:v>
                </c:pt>
                <c:pt idx="46">
                  <c:v>8.7444849674413199</c:v>
                </c:pt>
                <c:pt idx="47">
                  <c:v>149.88142443287441</c:v>
                </c:pt>
              </c:numCache>
            </c:numRef>
          </c:yVal>
        </c:ser>
        <c:axId val="50867200"/>
        <c:axId val="50865664"/>
      </c:scatterChart>
      <c:valAx>
        <c:axId val="50867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Maximum Rad/Sec</a:t>
                </a:r>
              </a:p>
            </c:rich>
          </c:tx>
          <c:layout/>
        </c:title>
        <c:numFmt formatCode="General" sourceLinked="1"/>
        <c:tickLblPos val="nextTo"/>
        <c:crossAx val="50865664"/>
        <c:crosses val="autoZero"/>
        <c:crossBetween val="midCat"/>
      </c:valAx>
      <c:valAx>
        <c:axId val="50865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Expected Max Rad Limit</a:t>
                </a:r>
              </a:p>
            </c:rich>
          </c:tx>
          <c:layout/>
        </c:title>
        <c:numFmt formatCode="0.000" sourceLinked="1"/>
        <c:tickLblPos val="nextTo"/>
        <c:crossAx val="5086720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'BLM ALARMS'!$D$4:$D$51</c:f>
              <c:numCache>
                <c:formatCode>General</c:formatCode>
                <c:ptCount val="48"/>
                <c:pt idx="0">
                  <c:v>25</c:v>
                </c:pt>
                <c:pt idx="1">
                  <c:v>340</c:v>
                </c:pt>
                <c:pt idx="2">
                  <c:v>28</c:v>
                </c:pt>
                <c:pt idx="3">
                  <c:v>1300</c:v>
                </c:pt>
                <c:pt idx="4">
                  <c:v>150</c:v>
                </c:pt>
                <c:pt idx="5">
                  <c:v>163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300</c:v>
                </c:pt>
                <c:pt idx="10">
                  <c:v>600</c:v>
                </c:pt>
                <c:pt idx="11">
                  <c:v>1800</c:v>
                </c:pt>
                <c:pt idx="12">
                  <c:v>280</c:v>
                </c:pt>
                <c:pt idx="13">
                  <c:v>200</c:v>
                </c:pt>
                <c:pt idx="14">
                  <c:v>100</c:v>
                </c:pt>
                <c:pt idx="15">
                  <c:v>120</c:v>
                </c:pt>
                <c:pt idx="16">
                  <c:v>40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28</c:v>
                </c:pt>
                <c:pt idx="21">
                  <c:v>85</c:v>
                </c:pt>
                <c:pt idx="22">
                  <c:v>26</c:v>
                </c:pt>
                <c:pt idx="23">
                  <c:v>100</c:v>
                </c:pt>
                <c:pt idx="24">
                  <c:v>500</c:v>
                </c:pt>
                <c:pt idx="25">
                  <c:v>500</c:v>
                </c:pt>
                <c:pt idx="26">
                  <c:v>55</c:v>
                </c:pt>
                <c:pt idx="27">
                  <c:v>118</c:v>
                </c:pt>
                <c:pt idx="28">
                  <c:v>40</c:v>
                </c:pt>
                <c:pt idx="29">
                  <c:v>190</c:v>
                </c:pt>
                <c:pt idx="30">
                  <c:v>50</c:v>
                </c:pt>
                <c:pt idx="31">
                  <c:v>120</c:v>
                </c:pt>
                <c:pt idx="32">
                  <c:v>25</c:v>
                </c:pt>
                <c:pt idx="33">
                  <c:v>120</c:v>
                </c:pt>
                <c:pt idx="34">
                  <c:v>42</c:v>
                </c:pt>
                <c:pt idx="35">
                  <c:v>288</c:v>
                </c:pt>
                <c:pt idx="36">
                  <c:v>95</c:v>
                </c:pt>
                <c:pt idx="37">
                  <c:v>300</c:v>
                </c:pt>
                <c:pt idx="38">
                  <c:v>75</c:v>
                </c:pt>
                <c:pt idx="39">
                  <c:v>100</c:v>
                </c:pt>
                <c:pt idx="40">
                  <c:v>50</c:v>
                </c:pt>
                <c:pt idx="41">
                  <c:v>225</c:v>
                </c:pt>
                <c:pt idx="42">
                  <c:v>43</c:v>
                </c:pt>
                <c:pt idx="43">
                  <c:v>225</c:v>
                </c:pt>
                <c:pt idx="44">
                  <c:v>50</c:v>
                </c:pt>
                <c:pt idx="45">
                  <c:v>135</c:v>
                </c:pt>
                <c:pt idx="46">
                  <c:v>38</c:v>
                </c:pt>
                <c:pt idx="47">
                  <c:v>225</c:v>
                </c:pt>
              </c:numCache>
            </c:numRef>
          </c:xVal>
          <c:yVal>
            <c:numRef>
              <c:f>'BLM ALARMS'!$F$4:$F$51</c:f>
              <c:numCache>
                <c:formatCode>0.000</c:formatCode>
                <c:ptCount val="48"/>
                <c:pt idx="0">
                  <c:v>6.2087779399124798</c:v>
                </c:pt>
                <c:pt idx="1">
                  <c:v>94.984009052276946</c:v>
                </c:pt>
                <c:pt idx="2">
                  <c:v>5.7509039663479689</c:v>
                </c:pt>
                <c:pt idx="3">
                  <c:v>294.31974118839935</c:v>
                </c:pt>
                <c:pt idx="4">
                  <c:v>35.78006976664431</c:v>
                </c:pt>
                <c:pt idx="5">
                  <c:v>25.925114247076994</c:v>
                </c:pt>
                <c:pt idx="6">
                  <c:v>9.0186834078767326</c:v>
                </c:pt>
                <c:pt idx="7">
                  <c:v>18.644725216171722</c:v>
                </c:pt>
                <c:pt idx="8">
                  <c:v>10.207718802250167</c:v>
                </c:pt>
                <c:pt idx="9">
                  <c:v>65.320025567982327</c:v>
                </c:pt>
                <c:pt idx="10">
                  <c:v>763.99490211306772</c:v>
                </c:pt>
                <c:pt idx="11">
                  <c:v>964.9404291048287</c:v>
                </c:pt>
                <c:pt idx="12">
                  <c:v>196.72141699556929</c:v>
                </c:pt>
                <c:pt idx="13">
                  <c:v>165.96793384686123</c:v>
                </c:pt>
                <c:pt idx="14">
                  <c:v>61.652978315782256</c:v>
                </c:pt>
                <c:pt idx="15">
                  <c:v>67.27491950372206</c:v>
                </c:pt>
                <c:pt idx="16">
                  <c:v>16.654471946382628</c:v>
                </c:pt>
                <c:pt idx="17">
                  <c:v>33.573898936658615</c:v>
                </c:pt>
                <c:pt idx="18">
                  <c:v>39.133644926238539</c:v>
                </c:pt>
                <c:pt idx="19">
                  <c:v>46.546783995751596</c:v>
                </c:pt>
                <c:pt idx="20">
                  <c:v>12.73225116818695</c:v>
                </c:pt>
                <c:pt idx="21">
                  <c:v>43.938454798770017</c:v>
                </c:pt>
                <c:pt idx="22">
                  <c:v>8.1230456972251908</c:v>
                </c:pt>
                <c:pt idx="23">
                  <c:v>22.679398444806885</c:v>
                </c:pt>
                <c:pt idx="24">
                  <c:v>155.83731943305119</c:v>
                </c:pt>
                <c:pt idx="25">
                  <c:v>148.20925199472396</c:v>
                </c:pt>
                <c:pt idx="26">
                  <c:v>13.355970462887512</c:v>
                </c:pt>
                <c:pt idx="27">
                  <c:v>29.976161091662554</c:v>
                </c:pt>
                <c:pt idx="28">
                  <c:v>9.7735555899710516</c:v>
                </c:pt>
                <c:pt idx="29">
                  <c:v>48.120659254032475</c:v>
                </c:pt>
                <c:pt idx="30">
                  <c:v>17.347628357733466</c:v>
                </c:pt>
                <c:pt idx="31">
                  <c:v>25.915485956903183</c:v>
                </c:pt>
                <c:pt idx="32">
                  <c:v>7.1671368394954476</c:v>
                </c:pt>
                <c:pt idx="33">
                  <c:v>32.156652596379431</c:v>
                </c:pt>
                <c:pt idx="34">
                  <c:v>8.5384597689675523</c:v>
                </c:pt>
                <c:pt idx="35">
                  <c:v>60.723893664463539</c:v>
                </c:pt>
                <c:pt idx="36">
                  <c:v>19.117604057748892</c:v>
                </c:pt>
                <c:pt idx="37">
                  <c:v>38.52520679992999</c:v>
                </c:pt>
                <c:pt idx="38">
                  <c:v>15.981269688780948</c:v>
                </c:pt>
                <c:pt idx="39">
                  <c:v>14.162834861738226</c:v>
                </c:pt>
                <c:pt idx="40">
                  <c:v>10.436164486915104</c:v>
                </c:pt>
                <c:pt idx="41">
                  <c:v>39.917532388814102</c:v>
                </c:pt>
                <c:pt idx="42">
                  <c:v>6.1741505237636547</c:v>
                </c:pt>
                <c:pt idx="43">
                  <c:v>31.535664621362375</c:v>
                </c:pt>
                <c:pt idx="44">
                  <c:v>9.8331297472967307</c:v>
                </c:pt>
                <c:pt idx="45">
                  <c:v>21.179136314348437</c:v>
                </c:pt>
                <c:pt idx="46">
                  <c:v>8.7444849674413199</c:v>
                </c:pt>
                <c:pt idx="47">
                  <c:v>149.88142443287441</c:v>
                </c:pt>
              </c:numCache>
            </c:numRef>
          </c:yVal>
        </c:ser>
        <c:axId val="69712128"/>
        <c:axId val="75272192"/>
      </c:scatterChart>
      <c:valAx>
        <c:axId val="69712128"/>
        <c:scaling>
          <c:orientation val="minMax"/>
          <c:max val="5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Maximum Rad/Sec</a:t>
                </a:r>
              </a:p>
            </c:rich>
          </c:tx>
          <c:layout/>
        </c:title>
        <c:numFmt formatCode="General" sourceLinked="1"/>
        <c:tickLblPos val="nextTo"/>
        <c:crossAx val="75272192"/>
        <c:crosses val="autoZero"/>
        <c:crossBetween val="midCat"/>
      </c:valAx>
      <c:valAx>
        <c:axId val="75272192"/>
        <c:scaling>
          <c:orientation val="minMax"/>
          <c:max val="2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/>
                  <a:t>A</a:t>
                </a:r>
                <a:r>
                  <a:rPr lang="en-US" sz="1000" b="1" i="0" baseline="0"/>
                  <a:t>Expected Max Rad Limit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2.2222222222222223E-2"/>
              <c:y val="0.16004811898512683"/>
            </c:manualLayout>
          </c:layout>
        </c:title>
        <c:numFmt formatCode="0.000" sourceLinked="1"/>
        <c:tickLblPos val="nextTo"/>
        <c:crossAx val="6971212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1076325</xdr:colOff>
      <xdr:row>18</xdr:row>
      <xdr:rowOff>28575</xdr:rowOff>
    </xdr:from>
    <xdr:to>
      <xdr:col>16</xdr:col>
      <xdr:colOff>838200</xdr:colOff>
      <xdr:row>42</xdr:row>
      <xdr:rowOff>123825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57150</xdr:colOff>
      <xdr:row>4</xdr:row>
      <xdr:rowOff>28575</xdr:rowOff>
    </xdr:from>
    <xdr:ext cx="1557991" cy="264560"/>
    <xdr:sp macro="" textlink="">
      <xdr:nvSpPr>
        <xdr:cNvPr id="10" name="TextBox 9"/>
        <xdr:cNvSpPr txBox="1"/>
      </xdr:nvSpPr>
      <xdr:spPr>
        <a:xfrm>
          <a:off x="5410200" y="800100"/>
          <a:ext cx="1557991" cy="26456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t">
          <a:spAutoFit/>
        </a:bodyPr>
        <a:lstStyle/>
        <a:p>
          <a:r>
            <a:rPr lang="en-US" sz="1100"/>
            <a:t>Choose a Period to plot.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19050</xdr:rowOff>
    </xdr:from>
    <xdr:to>
      <xdr:col>7</xdr:col>
      <xdr:colOff>142875</xdr:colOff>
      <xdr:row>18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15</xdr:col>
      <xdr:colOff>19050</xdr:colOff>
      <xdr:row>18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20</xdr:row>
      <xdr:rowOff>0</xdr:rowOff>
    </xdr:from>
    <xdr:to>
      <xdr:col>7</xdr:col>
      <xdr:colOff>142875</xdr:colOff>
      <xdr:row>37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600075</xdr:colOff>
      <xdr:row>20</xdr:row>
      <xdr:rowOff>0</xdr:rowOff>
    </xdr:from>
    <xdr:to>
      <xdr:col>15</xdr:col>
      <xdr:colOff>9525</xdr:colOff>
      <xdr:row>37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38</xdr:row>
      <xdr:rowOff>180975</xdr:rowOff>
    </xdr:from>
    <xdr:to>
      <xdr:col>7</xdr:col>
      <xdr:colOff>152400</xdr:colOff>
      <xdr:row>56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19050</xdr:colOff>
      <xdr:row>56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0</xdr:row>
      <xdr:rowOff>180975</xdr:rowOff>
    </xdr:from>
    <xdr:to>
      <xdr:col>14</xdr:col>
      <xdr:colOff>266700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17</xdr:row>
      <xdr:rowOff>76200</xdr:rowOff>
    </xdr:from>
    <xdr:to>
      <xdr:col>14</xdr:col>
      <xdr:colOff>304800</xdr:colOff>
      <xdr:row>31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10"/>
  <sheetViews>
    <sheetView topLeftCell="A102" zoomScaleNormal="100" workbookViewId="0">
      <pane ySplit="3180" activePane="bottomLeft"/>
      <selection activeCell="B9" sqref="B9:B110"/>
      <selection pane="bottomLeft" activeCell="D3" sqref="D3:E5"/>
    </sheetView>
  </sheetViews>
  <sheetFormatPr defaultRowHeight="15"/>
  <cols>
    <col min="2" max="2" width="24" customWidth="1"/>
    <col min="3" max="4" width="20.42578125" customWidth="1"/>
    <col min="5" max="5" width="21.42578125" style="8" customWidth="1"/>
    <col min="6" max="6" width="15.5703125" customWidth="1"/>
    <col min="7" max="7" width="20.140625" customWidth="1"/>
    <col min="8" max="8" width="20.28515625" customWidth="1"/>
    <col min="9" max="9" width="17.7109375" customWidth="1"/>
    <col min="10" max="10" width="26.42578125" style="8" customWidth="1"/>
    <col min="11" max="11" width="12" bestFit="1" customWidth="1"/>
    <col min="12" max="12" width="20.140625" customWidth="1"/>
    <col min="13" max="13" width="20.28515625" customWidth="1"/>
    <col min="14" max="14" width="19.5703125" style="8" customWidth="1"/>
    <col min="15" max="15" width="24.5703125" style="8" customWidth="1"/>
    <col min="16" max="16" width="4.85546875" customWidth="1"/>
    <col min="17" max="17" width="16.7109375" customWidth="1"/>
    <col min="18" max="18" width="16.85546875" customWidth="1"/>
    <col min="19" max="19" width="18" customWidth="1"/>
    <col min="20" max="20" width="14.42578125" style="8" customWidth="1"/>
    <col min="21" max="21" width="9.140625" style="8"/>
  </cols>
  <sheetData>
    <row r="3" spans="1:21" s="33" customFormat="1" ht="15.75" thickBot="1">
      <c r="B3" s="33" t="s">
        <v>34</v>
      </c>
      <c r="D3" s="33" t="s">
        <v>1</v>
      </c>
      <c r="G3" s="33" t="s">
        <v>35</v>
      </c>
      <c r="I3" s="33" t="s">
        <v>36</v>
      </c>
      <c r="J3" s="34"/>
      <c r="L3" s="33" t="s">
        <v>35</v>
      </c>
      <c r="N3" s="34" t="s">
        <v>37</v>
      </c>
      <c r="O3" s="34"/>
      <c r="Q3" s="33" t="s">
        <v>38</v>
      </c>
      <c r="T3" s="34"/>
      <c r="U3" s="34"/>
    </row>
    <row r="4" spans="1:21">
      <c r="B4" s="46" t="s">
        <v>8</v>
      </c>
      <c r="C4" s="75">
        <v>1.079</v>
      </c>
      <c r="D4" s="46" t="s">
        <v>2</v>
      </c>
      <c r="E4" s="48">
        <v>7.2119599999999999E-3</v>
      </c>
      <c r="G4" s="46" t="s">
        <v>16</v>
      </c>
      <c r="H4" s="47">
        <v>15817100000000</v>
      </c>
      <c r="I4" s="46" t="s">
        <v>19</v>
      </c>
      <c r="J4" s="48">
        <f>3276.8*_c1</f>
        <v>3535.6671999999999</v>
      </c>
      <c r="L4" s="46" t="s">
        <v>16</v>
      </c>
      <c r="M4" s="47">
        <v>15817100000000</v>
      </c>
      <c r="N4" s="79" t="s">
        <v>27</v>
      </c>
      <c r="O4" s="48">
        <f xml:space="preserve"> 1/(G1_*0.00000007)</f>
        <v>9.0318163795602774E-7</v>
      </c>
      <c r="Q4" s="18" t="s">
        <v>29</v>
      </c>
      <c r="R4" s="42">
        <v>15</v>
      </c>
      <c r="S4" s="42"/>
      <c r="T4" s="77"/>
      <c r="U4" s="44"/>
    </row>
    <row r="5" spans="1:21" ht="15.75" thickBot="1">
      <c r="B5" s="49" t="s">
        <v>9</v>
      </c>
      <c r="C5" s="76">
        <v>23.344000000000001</v>
      </c>
      <c r="D5" s="49" t="s">
        <v>3</v>
      </c>
      <c r="E5" s="50">
        <v>1.0577719999999999</v>
      </c>
      <c r="G5" s="12"/>
      <c r="H5" s="13"/>
      <c r="I5" s="49" t="s">
        <v>20</v>
      </c>
      <c r="J5" s="50">
        <f>3276.8*(_c2-_c1*30.3921)</f>
        <v>-30962.73190911999</v>
      </c>
      <c r="L5" s="12"/>
      <c r="M5" s="13"/>
      <c r="N5" s="40"/>
      <c r="O5" s="41"/>
      <c r="Q5" s="19" t="s">
        <v>30</v>
      </c>
      <c r="R5" s="43">
        <v>4096</v>
      </c>
      <c r="S5" s="43"/>
      <c r="T5" s="78"/>
      <c r="U5" s="45"/>
    </row>
    <row r="6" spans="1:21" ht="21.75" customHeight="1">
      <c r="B6" s="2"/>
      <c r="C6" s="3" t="s">
        <v>11</v>
      </c>
      <c r="D6" s="3"/>
      <c r="E6" s="9"/>
      <c r="G6" s="6"/>
      <c r="H6" s="7" t="s">
        <v>21</v>
      </c>
      <c r="I6" s="6"/>
      <c r="J6" s="11"/>
      <c r="L6" s="5"/>
      <c r="M6" s="14" t="s">
        <v>24</v>
      </c>
      <c r="N6" s="15"/>
      <c r="O6" s="15"/>
      <c r="P6" s="5"/>
      <c r="Q6" s="5"/>
      <c r="R6" s="5"/>
      <c r="S6" s="5"/>
      <c r="T6" s="15"/>
      <c r="U6" s="15"/>
    </row>
    <row r="7" spans="1:21">
      <c r="B7" s="1" t="s">
        <v>39</v>
      </c>
      <c r="C7" s="1" t="s">
        <v>40</v>
      </c>
      <c r="D7" t="s">
        <v>12</v>
      </c>
      <c r="E7" s="10" t="s">
        <v>41</v>
      </c>
      <c r="G7" s="16" t="s">
        <v>26</v>
      </c>
      <c r="H7" t="s">
        <v>15</v>
      </c>
      <c r="I7" s="1" t="s">
        <v>22</v>
      </c>
      <c r="J7" s="10" t="s">
        <v>42</v>
      </c>
      <c r="L7" s="16" t="s">
        <v>26</v>
      </c>
      <c r="M7" t="s">
        <v>25</v>
      </c>
      <c r="N7" s="8" t="s">
        <v>28</v>
      </c>
      <c r="O7" s="10" t="s">
        <v>23</v>
      </c>
      <c r="P7" s="1"/>
      <c r="Q7" s="17"/>
      <c r="R7" s="1"/>
      <c r="S7" s="1"/>
      <c r="T7" s="32"/>
      <c r="U7" s="32"/>
    </row>
    <row r="8" spans="1:21">
      <c r="B8" t="s">
        <v>6</v>
      </c>
      <c r="C8" t="s">
        <v>6</v>
      </c>
      <c r="D8" t="s">
        <v>6</v>
      </c>
      <c r="E8" s="8" t="s">
        <v>6</v>
      </c>
      <c r="G8" t="s">
        <v>17</v>
      </c>
      <c r="H8" t="s">
        <v>6</v>
      </c>
      <c r="I8" t="s">
        <v>6</v>
      </c>
      <c r="J8" s="8" t="s">
        <v>6</v>
      </c>
      <c r="L8" t="s">
        <v>17</v>
      </c>
      <c r="M8" t="s">
        <v>6</v>
      </c>
      <c r="N8" s="8" t="s">
        <v>6</v>
      </c>
      <c r="O8" s="8" t="s">
        <v>6</v>
      </c>
      <c r="Q8" s="17"/>
      <c r="T8" s="89" t="s">
        <v>96</v>
      </c>
      <c r="U8" s="32"/>
    </row>
    <row r="9" spans="1:21" s="35" customFormat="1" ht="15.75">
      <c r="A9" s="35" t="s">
        <v>5</v>
      </c>
      <c r="B9" s="35" t="s">
        <v>7</v>
      </c>
      <c r="C9" s="35" t="s">
        <v>5</v>
      </c>
      <c r="D9" s="35" t="s">
        <v>13</v>
      </c>
      <c r="E9" s="36" t="s">
        <v>4</v>
      </c>
      <c r="G9" s="35" t="s">
        <v>7</v>
      </c>
      <c r="H9" s="35" t="s">
        <v>14</v>
      </c>
      <c r="I9" s="35" t="s">
        <v>18</v>
      </c>
      <c r="J9" s="36" t="s">
        <v>4</v>
      </c>
      <c r="L9" s="35" t="s">
        <v>7</v>
      </c>
      <c r="M9" s="35" t="s">
        <v>14</v>
      </c>
      <c r="N9" s="36" t="s">
        <v>10</v>
      </c>
      <c r="O9" s="36" t="s">
        <v>4</v>
      </c>
      <c r="Q9" s="37" t="s">
        <v>31</v>
      </c>
      <c r="R9" s="38" t="s">
        <v>33</v>
      </c>
      <c r="S9" s="38" t="s">
        <v>99</v>
      </c>
      <c r="T9" s="39" t="s">
        <v>10</v>
      </c>
      <c r="U9" s="39" t="s">
        <v>32</v>
      </c>
    </row>
    <row r="10" spans="1:21">
      <c r="A10">
        <v>2.0000000000000001E-4</v>
      </c>
      <c r="B10">
        <f t="shared" ref="B10:B41" si="0">EXP((A10/_c1)-(_c2/_c1))</f>
        <v>4.0196273773051939E-10</v>
      </c>
      <c r="C10">
        <f t="shared" ref="C10:C41" si="1">_c1*LN(B10)+_c2</f>
        <v>1.9999999999953388E-4</v>
      </c>
      <c r="D10" s="4">
        <f>C10*3276.8</f>
        <v>0.65535999999847272</v>
      </c>
      <c r="E10" s="8">
        <f t="shared" ref="E10:E41" si="2">d1_*EXP(d2_*C10)</f>
        <v>7.2134858832685889E-3</v>
      </c>
      <c r="G10">
        <f>B10</f>
        <v>4.0196273773051939E-10</v>
      </c>
      <c r="H10">
        <f t="shared" ref="H10:H41" si="3">INT((G1_)*G10)</f>
        <v>6357</v>
      </c>
      <c r="I10">
        <f t="shared" ref="I10:I41" si="4">INT(m*LN(H10)+b)</f>
        <v>0</v>
      </c>
      <c r="J10" s="8">
        <f t="shared" ref="J10:J41" si="5">d1_*EXP(d2_*I10/3276.8)</f>
        <v>7.2119599999999999E-3</v>
      </c>
      <c r="L10">
        <f t="shared" ref="L10:L74" si="6">G10</f>
        <v>4.0196273773051939E-10</v>
      </c>
      <c r="M10">
        <f t="shared" ref="M10:M41" si="7">INT((G1_)*L10)</f>
        <v>6357</v>
      </c>
      <c r="N10" s="8">
        <f>M10/(G1_*0.00000007)</f>
        <v>5.7415256724864683E-3</v>
      </c>
      <c r="O10" s="8">
        <f t="shared" ref="O10:O41" si="8">d1_*EXP(d2_*I10/3276.8)</f>
        <v>7.2119599999999999E-3</v>
      </c>
      <c r="Q10" s="17" t="str">
        <f t="shared" ref="Q10:Q41" si="9">DEC2HEX(M10*N,8)</f>
        <v>0001747B</v>
      </c>
      <c r="R10" s="17" t="str">
        <f t="shared" ref="R10" si="10">DEC2HEX(INT(INT(M10*N)/D),8)</f>
        <v>00000017</v>
      </c>
      <c r="S10" s="17">
        <f t="shared" ref="S10:S41" si="11">INT(INT(M10*N)/D)</f>
        <v>23</v>
      </c>
      <c r="T10" s="32">
        <f t="shared" ref="T10:T41" si="12">INT(INT(M10*N)/D)/4000</f>
        <v>5.7499999999999999E-3</v>
      </c>
      <c r="U10" s="32">
        <f t="shared" ref="U10:U41" si="13">200*(N10-T10)/(N10+T10)</f>
        <v>-0.14748829276553196</v>
      </c>
    </row>
    <row r="11" spans="1:21">
      <c r="A11">
        <v>0.1</v>
      </c>
      <c r="B11">
        <f t="shared" si="0"/>
        <v>4.4091514467505724E-10</v>
      </c>
      <c r="C11">
        <f t="shared" si="1"/>
        <v>0.10000000000000142</v>
      </c>
      <c r="D11" s="4">
        <f t="shared" ref="D11:D74" si="14">C11*3276.8</f>
        <v>327.68000000000467</v>
      </c>
      <c r="E11" s="8">
        <f t="shared" si="2"/>
        <v>8.0166285966518612E-3</v>
      </c>
      <c r="G11">
        <f t="shared" ref="G11:G19" si="15">B11</f>
        <v>4.4091514467505724E-10</v>
      </c>
      <c r="H11">
        <f t="shared" si="3"/>
        <v>6973</v>
      </c>
      <c r="I11">
        <f t="shared" si="4"/>
        <v>327</v>
      </c>
      <c r="J11" s="8">
        <f t="shared" si="5"/>
        <v>8.0148690728613133E-3</v>
      </c>
      <c r="L11">
        <f t="shared" si="6"/>
        <v>4.4091514467505724E-10</v>
      </c>
      <c r="M11">
        <f t="shared" si="7"/>
        <v>6973</v>
      </c>
      <c r="N11" s="8">
        <f>M11/(G1_*0.00000007)</f>
        <v>6.2978855614673809E-3</v>
      </c>
      <c r="O11" s="8">
        <f t="shared" si="8"/>
        <v>8.0148690728613133E-3</v>
      </c>
      <c r="Q11" s="17" t="str">
        <f t="shared" si="9"/>
        <v>00019893</v>
      </c>
      <c r="R11" s="17" t="str">
        <f t="shared" ref="R11:R74" si="16">DEC2HEX(INT(INT(M11*N)/D),8)</f>
        <v>00000019</v>
      </c>
      <c r="S11" s="17">
        <f t="shared" si="11"/>
        <v>25</v>
      </c>
      <c r="T11" s="32">
        <f t="shared" si="12"/>
        <v>6.2500000000000003E-3</v>
      </c>
      <c r="U11" s="32">
        <f t="shared" si="13"/>
        <v>0.76324510982837901</v>
      </c>
    </row>
    <row r="12" spans="1:21">
      <c r="A12">
        <v>0.2</v>
      </c>
      <c r="B12">
        <f t="shared" si="0"/>
        <v>4.8373190945107878E-10</v>
      </c>
      <c r="C12">
        <f t="shared" si="1"/>
        <v>0.19999999999999929</v>
      </c>
      <c r="D12" s="4">
        <f t="shared" si="14"/>
        <v>655.35999999999774</v>
      </c>
      <c r="E12" s="8">
        <f t="shared" si="2"/>
        <v>8.9110774403430033E-3</v>
      </c>
      <c r="G12">
        <f t="shared" si="15"/>
        <v>4.8373190945107878E-10</v>
      </c>
      <c r="H12">
        <f t="shared" si="3"/>
        <v>7651</v>
      </c>
      <c r="I12">
        <f t="shared" si="4"/>
        <v>655</v>
      </c>
      <c r="J12" s="8">
        <f t="shared" si="5"/>
        <v>8.9100419415049596E-3</v>
      </c>
      <c r="L12">
        <f t="shared" si="6"/>
        <v>4.8373190945107878E-10</v>
      </c>
      <c r="M12">
        <f t="shared" si="7"/>
        <v>7651</v>
      </c>
      <c r="N12" s="8">
        <f t="shared" ref="N12:N43" si="17">M12*H1_</f>
        <v>6.9102427120015684E-3</v>
      </c>
      <c r="O12" s="8">
        <f t="shared" si="8"/>
        <v>8.9100419415049596E-3</v>
      </c>
      <c r="Q12" s="17" t="str">
        <f t="shared" si="9"/>
        <v>0001C04D</v>
      </c>
      <c r="R12" s="17" t="str">
        <f t="shared" si="16"/>
        <v>0000001C</v>
      </c>
      <c r="S12" s="17">
        <f t="shared" si="11"/>
        <v>28</v>
      </c>
      <c r="T12" s="32">
        <f t="shared" si="12"/>
        <v>7.0000000000000001E-3</v>
      </c>
      <c r="U12" s="32">
        <f t="shared" si="13"/>
        <v>-1.2905208033644209</v>
      </c>
    </row>
    <row r="13" spans="1:21">
      <c r="A13">
        <v>0.3</v>
      </c>
      <c r="B13">
        <f t="shared" si="0"/>
        <v>5.3070656122197096E-10</v>
      </c>
      <c r="C13">
        <f t="shared" si="1"/>
        <v>0.30000000000000071</v>
      </c>
      <c r="D13" s="4">
        <f t="shared" si="14"/>
        <v>983.04000000000235</v>
      </c>
      <c r="E13" s="8">
        <f t="shared" si="2"/>
        <v>9.9053236894315801E-3</v>
      </c>
      <c r="G13">
        <f t="shared" si="15"/>
        <v>5.3070656122197096E-10</v>
      </c>
      <c r="H13">
        <f t="shared" si="3"/>
        <v>8394</v>
      </c>
      <c r="I13">
        <f t="shared" si="4"/>
        <v>982</v>
      </c>
      <c r="J13" s="8">
        <f t="shared" si="5"/>
        <v>9.9019988456487927E-3</v>
      </c>
      <c r="L13">
        <f t="shared" si="6"/>
        <v>5.3070656122197096E-10</v>
      </c>
      <c r="M13">
        <f t="shared" si="7"/>
        <v>8394</v>
      </c>
      <c r="N13" s="8">
        <f t="shared" si="17"/>
        <v>7.5813066690028968E-3</v>
      </c>
      <c r="O13" s="8">
        <f t="shared" si="8"/>
        <v>9.9019988456487927E-3</v>
      </c>
      <c r="Q13" s="17" t="str">
        <f t="shared" si="9"/>
        <v>0001EBD6</v>
      </c>
      <c r="R13" s="17" t="str">
        <f t="shared" si="16"/>
        <v>0000001E</v>
      </c>
      <c r="S13" s="17">
        <f t="shared" si="11"/>
        <v>30</v>
      </c>
      <c r="T13" s="32">
        <f t="shared" si="12"/>
        <v>7.4999999999999997E-3</v>
      </c>
      <c r="U13" s="32">
        <f t="shared" si="13"/>
        <v>1.0782443562401571</v>
      </c>
    </row>
    <row r="14" spans="1:21">
      <c r="A14">
        <v>0.4</v>
      </c>
      <c r="B14">
        <f t="shared" si="0"/>
        <v>5.8224286763230925E-10</v>
      </c>
      <c r="C14">
        <f t="shared" si="1"/>
        <v>0.39999999999999858</v>
      </c>
      <c r="D14" s="4">
        <f t="shared" si="14"/>
        <v>1310.7199999999955</v>
      </c>
      <c r="E14" s="8">
        <f t="shared" si="2"/>
        <v>1.101050215860737E-2</v>
      </c>
      <c r="G14">
        <f t="shared" si="15"/>
        <v>5.8224286763230925E-10</v>
      </c>
      <c r="H14">
        <f t="shared" si="3"/>
        <v>9209</v>
      </c>
      <c r="I14">
        <f t="shared" si="4"/>
        <v>1310</v>
      </c>
      <c r="J14" s="8">
        <f t="shared" si="5"/>
        <v>1.1007943388396148E-2</v>
      </c>
      <c r="L14">
        <f t="shared" si="6"/>
        <v>5.8224286763230925E-10</v>
      </c>
      <c r="M14">
        <f t="shared" si="7"/>
        <v>9209</v>
      </c>
      <c r="N14" s="8">
        <f t="shared" si="17"/>
        <v>8.3173997039370593E-3</v>
      </c>
      <c r="O14" s="8">
        <f t="shared" si="8"/>
        <v>1.1007943388396148E-2</v>
      </c>
      <c r="Q14" s="17" t="str">
        <f t="shared" si="9"/>
        <v>00021B97</v>
      </c>
      <c r="R14" s="17" t="str">
        <f t="shared" si="16"/>
        <v>00000021</v>
      </c>
      <c r="S14" s="17">
        <f t="shared" si="11"/>
        <v>33</v>
      </c>
      <c r="T14" s="32">
        <f t="shared" si="12"/>
        <v>8.2500000000000004E-3</v>
      </c>
      <c r="U14" s="32">
        <f t="shared" si="13"/>
        <v>0.81364251652650277</v>
      </c>
    </row>
    <row r="15" spans="1:21">
      <c r="A15">
        <v>0.5</v>
      </c>
      <c r="B15">
        <f t="shared" si="0"/>
        <v>6.3878380574025834E-10</v>
      </c>
      <c r="C15">
        <f t="shared" si="1"/>
        <v>0.5</v>
      </c>
      <c r="D15" s="4">
        <f t="shared" si="14"/>
        <v>1638.4</v>
      </c>
      <c r="E15" s="8">
        <f t="shared" si="2"/>
        <v>1.2238990020492193E-2</v>
      </c>
      <c r="G15">
        <f t="shared" si="15"/>
        <v>6.3878380574025834E-10</v>
      </c>
      <c r="H15">
        <f t="shared" si="3"/>
        <v>10103</v>
      </c>
      <c r="I15">
        <f t="shared" si="4"/>
        <v>1638</v>
      </c>
      <c r="J15" s="8">
        <f t="shared" si="5"/>
        <v>1.2237409792809861E-2</v>
      </c>
      <c r="L15">
        <f t="shared" si="6"/>
        <v>6.3878380574025834E-10</v>
      </c>
      <c r="M15">
        <f t="shared" si="7"/>
        <v>10103</v>
      </c>
      <c r="N15" s="8">
        <f t="shared" si="17"/>
        <v>9.1248440882697492E-3</v>
      </c>
      <c r="O15" s="8">
        <f t="shared" si="8"/>
        <v>1.2237409792809861E-2</v>
      </c>
      <c r="Q15" s="17" t="str">
        <f t="shared" si="9"/>
        <v>00024FF9</v>
      </c>
      <c r="R15" s="17" t="str">
        <f t="shared" si="16"/>
        <v>00000024</v>
      </c>
      <c r="S15" s="17">
        <f t="shared" si="11"/>
        <v>36</v>
      </c>
      <c r="T15" s="32">
        <f t="shared" si="12"/>
        <v>8.9999999999999993E-3</v>
      </c>
      <c r="U15" s="32">
        <f t="shared" si="13"/>
        <v>1.3776017896953709</v>
      </c>
    </row>
    <row r="16" spans="1:21">
      <c r="A16">
        <v>0.6</v>
      </c>
      <c r="B16">
        <f t="shared" si="0"/>
        <v>7.0081536959881039E-10</v>
      </c>
      <c r="C16">
        <f t="shared" si="1"/>
        <v>0.60000000000000142</v>
      </c>
      <c r="D16" s="4">
        <f t="shared" si="14"/>
        <v>1966.0800000000047</v>
      </c>
      <c r="E16" s="8">
        <f t="shared" si="2"/>
        <v>1.3604545420719811E-2</v>
      </c>
      <c r="G16">
        <f t="shared" si="15"/>
        <v>7.0081536959881039E-10</v>
      </c>
      <c r="H16">
        <f t="shared" si="3"/>
        <v>11084</v>
      </c>
      <c r="I16">
        <f t="shared" si="4"/>
        <v>1965</v>
      </c>
      <c r="J16" s="8">
        <f t="shared" si="5"/>
        <v>1.3599803282370105E-2</v>
      </c>
      <c r="L16">
        <f t="shared" si="6"/>
        <v>7.0081536959881039E-10</v>
      </c>
      <c r="M16">
        <f t="shared" si="7"/>
        <v>11084</v>
      </c>
      <c r="N16" s="8">
        <f t="shared" si="17"/>
        <v>1.0010865275104612E-2</v>
      </c>
      <c r="O16" s="8">
        <f t="shared" si="8"/>
        <v>1.3599803282370105E-2</v>
      </c>
      <c r="Q16" s="17" t="str">
        <f t="shared" si="9"/>
        <v>00028974</v>
      </c>
      <c r="R16" s="17" t="str">
        <f t="shared" si="16"/>
        <v>00000028</v>
      </c>
      <c r="S16" s="17">
        <f t="shared" si="11"/>
        <v>40</v>
      </c>
      <c r="T16" s="32">
        <f t="shared" si="12"/>
        <v>0.01</v>
      </c>
      <c r="U16" s="32">
        <f t="shared" si="13"/>
        <v>0.10859375599443881</v>
      </c>
    </row>
    <row r="17" spans="1:21">
      <c r="A17">
        <v>0.7</v>
      </c>
      <c r="B17">
        <f t="shared" si="0"/>
        <v>7.688707475868968E-10</v>
      </c>
      <c r="C17">
        <f t="shared" si="1"/>
        <v>0.69999999999999929</v>
      </c>
      <c r="D17" s="4">
        <f t="shared" si="14"/>
        <v>2293.7599999999979</v>
      </c>
      <c r="E17" s="8">
        <f t="shared" si="2"/>
        <v>1.5122461558881516E-2</v>
      </c>
      <c r="G17">
        <f t="shared" si="15"/>
        <v>7.688707475868968E-10</v>
      </c>
      <c r="H17">
        <f t="shared" si="3"/>
        <v>12161</v>
      </c>
      <c r="I17">
        <f t="shared" si="4"/>
        <v>2293</v>
      </c>
      <c r="J17" s="8">
        <f t="shared" si="5"/>
        <v>1.5118751977176714E-2</v>
      </c>
      <c r="L17">
        <f t="shared" si="6"/>
        <v>7.688707475868968E-10</v>
      </c>
      <c r="M17">
        <f t="shared" si="7"/>
        <v>12161</v>
      </c>
      <c r="N17" s="8">
        <f t="shared" si="17"/>
        <v>1.0983591899183253E-2</v>
      </c>
      <c r="O17" s="8">
        <f t="shared" si="8"/>
        <v>1.5118751977176714E-2</v>
      </c>
      <c r="Q17" s="17" t="str">
        <f t="shared" si="9"/>
        <v>0002C88F</v>
      </c>
      <c r="R17" s="17" t="str">
        <f t="shared" si="16"/>
        <v>0000002C</v>
      </c>
      <c r="S17" s="17">
        <f t="shared" si="11"/>
        <v>44</v>
      </c>
      <c r="T17" s="32">
        <f t="shared" si="12"/>
        <v>1.0999999999999999E-2</v>
      </c>
      <c r="U17" s="32">
        <f t="shared" si="13"/>
        <v>-0.14927588623364066</v>
      </c>
    </row>
    <row r="18" spans="1:21">
      <c r="A18">
        <v>0.8</v>
      </c>
      <c r="B18">
        <f t="shared" si="0"/>
        <v>8.4353490539634298E-10</v>
      </c>
      <c r="C18">
        <f t="shared" si="1"/>
        <v>0.80000000000000071</v>
      </c>
      <c r="D18" s="4">
        <f t="shared" si="14"/>
        <v>2621.4400000000023</v>
      </c>
      <c r="E18" s="8">
        <f t="shared" si="2"/>
        <v>1.6809737960928516E-2</v>
      </c>
      <c r="G18">
        <f t="shared" si="15"/>
        <v>8.4353490539634298E-10</v>
      </c>
      <c r="H18">
        <f t="shared" si="3"/>
        <v>13342</v>
      </c>
      <c r="I18">
        <f t="shared" si="4"/>
        <v>2621</v>
      </c>
      <c r="J18" s="8">
        <f t="shared" si="5"/>
        <v>1.6807350562467079E-2</v>
      </c>
      <c r="L18">
        <f t="shared" si="6"/>
        <v>8.4353490539634298E-10</v>
      </c>
      <c r="M18">
        <f t="shared" si="7"/>
        <v>13342</v>
      </c>
      <c r="N18" s="8">
        <f t="shared" si="17"/>
        <v>1.2050249413609323E-2</v>
      </c>
      <c r="O18" s="8">
        <f t="shared" si="8"/>
        <v>1.6807350562467079E-2</v>
      </c>
      <c r="Q18" s="17" t="str">
        <f t="shared" si="9"/>
        <v>00030DC2</v>
      </c>
      <c r="R18" s="17" t="str">
        <f t="shared" si="16"/>
        <v>00000030</v>
      </c>
      <c r="S18" s="17">
        <f t="shared" si="11"/>
        <v>48</v>
      </c>
      <c r="T18" s="32">
        <f t="shared" si="12"/>
        <v>1.2E-2</v>
      </c>
      <c r="U18" s="32">
        <f t="shared" si="13"/>
        <v>0.41787020787308726</v>
      </c>
    </row>
    <row r="19" spans="1:21">
      <c r="A19">
        <v>0.9</v>
      </c>
      <c r="B19">
        <f t="shared" si="0"/>
        <v>9.254496140674102E-10</v>
      </c>
      <c r="C19">
        <f t="shared" si="1"/>
        <v>0.89999999999999858</v>
      </c>
      <c r="D19" s="4">
        <f t="shared" si="14"/>
        <v>2949.1199999999953</v>
      </c>
      <c r="E19" s="8">
        <f t="shared" si="2"/>
        <v>1.868527086115333E-2</v>
      </c>
      <c r="G19">
        <f t="shared" si="15"/>
        <v>9.254496140674102E-10</v>
      </c>
      <c r="H19">
        <f t="shared" si="3"/>
        <v>14637</v>
      </c>
      <c r="I19">
        <f t="shared" si="4"/>
        <v>2948</v>
      </c>
      <c r="J19" s="8">
        <f t="shared" si="5"/>
        <v>1.8678516550265888E-2</v>
      </c>
      <c r="L19">
        <f t="shared" si="6"/>
        <v>9.254496140674102E-10</v>
      </c>
      <c r="M19">
        <f t="shared" si="7"/>
        <v>14637</v>
      </c>
      <c r="N19" s="8">
        <f t="shared" si="17"/>
        <v>1.3219869634762378E-2</v>
      </c>
      <c r="O19" s="8">
        <f t="shared" si="8"/>
        <v>1.8678516550265888E-2</v>
      </c>
      <c r="Q19" s="17" t="str">
        <f t="shared" si="9"/>
        <v>000359A3</v>
      </c>
      <c r="R19" s="17" t="str">
        <f t="shared" si="16"/>
        <v>00000035</v>
      </c>
      <c r="S19" s="17">
        <f t="shared" si="11"/>
        <v>53</v>
      </c>
      <c r="T19" s="32">
        <f t="shared" si="12"/>
        <v>1.325E-2</v>
      </c>
      <c r="U19" s="32">
        <f t="shared" si="13"/>
        <v>-0.22765782871897108</v>
      </c>
    </row>
    <row r="20" spans="1:21">
      <c r="A20">
        <v>1</v>
      </c>
      <c r="B20">
        <f t="shared" si="0"/>
        <v>1.0153189662911541E-9</v>
      </c>
      <c r="C20">
        <f t="shared" si="1"/>
        <v>1</v>
      </c>
      <c r="D20" s="4">
        <f t="shared" si="14"/>
        <v>3276.8</v>
      </c>
      <c r="E20" s="8">
        <f t="shared" si="2"/>
        <v>2.0770064825887485E-2</v>
      </c>
      <c r="G20">
        <f t="shared" ref="G20:G76" si="18">B20</f>
        <v>1.0153189662911541E-9</v>
      </c>
      <c r="H20">
        <f t="shared" si="3"/>
        <v>16059</v>
      </c>
      <c r="I20">
        <f t="shared" si="4"/>
        <v>3276</v>
      </c>
      <c r="J20" s="8">
        <f t="shared" si="5"/>
        <v>2.0764701750586343E-2</v>
      </c>
      <c r="L20">
        <f t="shared" si="6"/>
        <v>1.0153189662911541E-9</v>
      </c>
      <c r="M20">
        <f t="shared" si="7"/>
        <v>16059</v>
      </c>
      <c r="N20" s="8">
        <f t="shared" si="17"/>
        <v>1.450419392393585E-2</v>
      </c>
      <c r="O20" s="8">
        <f t="shared" si="8"/>
        <v>2.0764701750586343E-2</v>
      </c>
      <c r="Q20" s="17" t="str">
        <f t="shared" si="9"/>
        <v>0003ACF5</v>
      </c>
      <c r="R20" s="17" t="str">
        <f t="shared" si="16"/>
        <v>0000003A</v>
      </c>
      <c r="S20" s="17">
        <f t="shared" si="11"/>
        <v>58</v>
      </c>
      <c r="T20" s="32">
        <f t="shared" si="12"/>
        <v>1.4500000000000001E-2</v>
      </c>
      <c r="U20" s="32">
        <f t="shared" si="13"/>
        <v>2.8919431078470385E-2</v>
      </c>
    </row>
    <row r="21" spans="1:21">
      <c r="A21">
        <v>1.1000000000000001</v>
      </c>
      <c r="B21">
        <f t="shared" si="0"/>
        <v>1.1139154283935426E-9</v>
      </c>
      <c r="C21">
        <f t="shared" si="1"/>
        <v>1.1000000000000014</v>
      </c>
      <c r="D21" s="4">
        <f t="shared" si="14"/>
        <v>3604.480000000005</v>
      </c>
      <c r="E21" s="8">
        <f t="shared" si="2"/>
        <v>2.3087467988940943E-2</v>
      </c>
      <c r="G21">
        <f t="shared" si="18"/>
        <v>1.1139154283935426E-9</v>
      </c>
      <c r="H21">
        <f t="shared" si="3"/>
        <v>17618</v>
      </c>
      <c r="I21">
        <f t="shared" si="4"/>
        <v>3604</v>
      </c>
      <c r="J21" s="8">
        <f t="shared" si="5"/>
        <v>2.3083890930549609E-2</v>
      </c>
      <c r="L21">
        <f t="shared" si="6"/>
        <v>1.1139154283935426E-9</v>
      </c>
      <c r="M21">
        <f t="shared" si="7"/>
        <v>17618</v>
      </c>
      <c r="N21" s="8">
        <f t="shared" si="17"/>
        <v>1.5912254097509296E-2</v>
      </c>
      <c r="O21" s="8">
        <f t="shared" si="8"/>
        <v>2.3083890930549609E-2</v>
      </c>
      <c r="Q21" s="17" t="str">
        <f t="shared" si="9"/>
        <v>0004084E</v>
      </c>
      <c r="R21" s="17" t="str">
        <f t="shared" si="16"/>
        <v>00000040</v>
      </c>
      <c r="S21" s="17">
        <f t="shared" si="11"/>
        <v>64</v>
      </c>
      <c r="T21" s="32">
        <f t="shared" si="12"/>
        <v>1.6E-2</v>
      </c>
      <c r="U21" s="32">
        <f t="shared" si="13"/>
        <v>-0.54991980336200896</v>
      </c>
    </row>
    <row r="22" spans="1:21">
      <c r="A22">
        <v>1.2</v>
      </c>
      <c r="B22">
        <f t="shared" si="0"/>
        <v>1.2220864800208504E-9</v>
      </c>
      <c r="C22">
        <f t="shared" si="1"/>
        <v>1.1999999999999993</v>
      </c>
      <c r="D22" s="4">
        <f t="shared" si="14"/>
        <v>3932.159999999998</v>
      </c>
      <c r="E22" s="8">
        <f t="shared" si="2"/>
        <v>2.5663433533245839E-2</v>
      </c>
      <c r="G22">
        <f t="shared" si="18"/>
        <v>1.2220864800208504E-9</v>
      </c>
      <c r="H22">
        <f t="shared" si="3"/>
        <v>19329</v>
      </c>
      <c r="I22">
        <f t="shared" si="4"/>
        <v>3932</v>
      </c>
      <c r="J22" s="8">
        <f t="shared" si="5"/>
        <v>2.566210807619539E-2</v>
      </c>
      <c r="L22">
        <f t="shared" si="6"/>
        <v>1.2220864800208504E-9</v>
      </c>
      <c r="M22">
        <f t="shared" si="7"/>
        <v>19329</v>
      </c>
      <c r="N22" s="8">
        <f t="shared" si="17"/>
        <v>1.7457597880052061E-2</v>
      </c>
      <c r="O22" s="8">
        <f t="shared" si="8"/>
        <v>2.566210807619539E-2</v>
      </c>
      <c r="Q22" s="17" t="str">
        <f t="shared" si="9"/>
        <v>00046C8F</v>
      </c>
      <c r="R22" s="17" t="str">
        <f t="shared" si="16"/>
        <v>00000046</v>
      </c>
      <c r="S22" s="17">
        <f t="shared" si="11"/>
        <v>70</v>
      </c>
      <c r="T22" s="32">
        <f t="shared" si="12"/>
        <v>1.7500000000000002E-2</v>
      </c>
      <c r="U22" s="32">
        <f t="shared" si="13"/>
        <v>-0.24259172551519564</v>
      </c>
    </row>
    <row r="23" spans="1:21">
      <c r="A23">
        <v>1.3</v>
      </c>
      <c r="B23">
        <f t="shared" si="0"/>
        <v>1.340761898597306E-9</v>
      </c>
      <c r="C23">
        <f t="shared" si="1"/>
        <v>1.3000000000000007</v>
      </c>
      <c r="D23" s="4">
        <f t="shared" si="14"/>
        <v>4259.8400000000029</v>
      </c>
      <c r="E23" s="8">
        <f t="shared" si="2"/>
        <v>2.8526810347102999E-2</v>
      </c>
      <c r="G23">
        <f t="shared" si="18"/>
        <v>1.340761898597306E-9</v>
      </c>
      <c r="H23">
        <f t="shared" si="3"/>
        <v>21206</v>
      </c>
      <c r="I23">
        <f t="shared" si="4"/>
        <v>4259</v>
      </c>
      <c r="J23" s="8">
        <f t="shared" si="5"/>
        <v>2.851907614078877E-2</v>
      </c>
      <c r="L23">
        <f t="shared" si="6"/>
        <v>1.340761898597306E-9</v>
      </c>
      <c r="M23">
        <f t="shared" si="7"/>
        <v>21206</v>
      </c>
      <c r="N23" s="8">
        <f t="shared" si="17"/>
        <v>1.9152869814495526E-2</v>
      </c>
      <c r="O23" s="8">
        <f t="shared" si="8"/>
        <v>2.851907614078877E-2</v>
      </c>
      <c r="Q23" s="17" t="str">
        <f t="shared" si="9"/>
        <v>0004DA8A</v>
      </c>
      <c r="R23" s="17" t="str">
        <f t="shared" si="16"/>
        <v>0000004D</v>
      </c>
      <c r="S23" s="17">
        <f t="shared" si="11"/>
        <v>77</v>
      </c>
      <c r="T23" s="32">
        <f t="shared" si="12"/>
        <v>1.925E-2</v>
      </c>
      <c r="U23" s="32">
        <f t="shared" si="13"/>
        <v>-0.50584857836750008</v>
      </c>
    </row>
    <row r="24" spans="1:21">
      <c r="A24">
        <v>1.4</v>
      </c>
      <c r="B24">
        <f t="shared" si="0"/>
        <v>1.4709617511680322E-9</v>
      </c>
      <c r="C24">
        <f t="shared" si="1"/>
        <v>1.3999999999999986</v>
      </c>
      <c r="D24" s="4">
        <f t="shared" si="14"/>
        <v>4587.5199999999959</v>
      </c>
      <c r="E24" s="8">
        <f t="shared" si="2"/>
        <v>3.1709666110162724E-2</v>
      </c>
      <c r="G24">
        <f t="shared" si="18"/>
        <v>1.4709617511680322E-9</v>
      </c>
      <c r="H24">
        <f t="shared" si="3"/>
        <v>23266</v>
      </c>
      <c r="I24">
        <f t="shared" si="4"/>
        <v>4587</v>
      </c>
      <c r="J24" s="8">
        <f t="shared" si="5"/>
        <v>3.170434379368911E-2</v>
      </c>
      <c r="L24">
        <f t="shared" si="6"/>
        <v>1.4709617511680322E-9</v>
      </c>
      <c r="M24">
        <f t="shared" si="7"/>
        <v>23266</v>
      </c>
      <c r="N24" s="8">
        <f t="shared" si="17"/>
        <v>2.1013423988684943E-2</v>
      </c>
      <c r="O24" s="8">
        <f t="shared" si="8"/>
        <v>3.170434379368911E-2</v>
      </c>
      <c r="Q24" s="17" t="str">
        <f t="shared" si="9"/>
        <v>0005533E</v>
      </c>
      <c r="R24" s="17" t="str">
        <f t="shared" si="16"/>
        <v>00000055</v>
      </c>
      <c r="S24" s="17">
        <f t="shared" si="11"/>
        <v>85</v>
      </c>
      <c r="T24" s="32">
        <f t="shared" si="12"/>
        <v>2.1250000000000002E-2</v>
      </c>
      <c r="U24" s="32">
        <f t="shared" si="13"/>
        <v>-1.1195307383443258</v>
      </c>
    </row>
    <row r="25" spans="1:21">
      <c r="A25">
        <v>1.5</v>
      </c>
      <c r="B25">
        <f t="shared" si="0"/>
        <v>1.6138051623207716E-9</v>
      </c>
      <c r="C25">
        <f t="shared" si="1"/>
        <v>1.5</v>
      </c>
      <c r="D25" s="4">
        <f t="shared" si="14"/>
        <v>4915.2000000000007</v>
      </c>
      <c r="E25" s="8">
        <f t="shared" si="2"/>
        <v>3.524764642746394E-2</v>
      </c>
      <c r="G25">
        <f t="shared" si="18"/>
        <v>1.6138051623207716E-9</v>
      </c>
      <c r="H25">
        <f t="shared" si="3"/>
        <v>25525</v>
      </c>
      <c r="I25">
        <f t="shared" si="4"/>
        <v>4915</v>
      </c>
      <c r="J25" s="8">
        <f t="shared" si="5"/>
        <v>3.5245370867775697E-2</v>
      </c>
      <c r="L25">
        <f t="shared" si="6"/>
        <v>1.6138051623207716E-9</v>
      </c>
      <c r="M25">
        <f t="shared" si="7"/>
        <v>25525</v>
      </c>
      <c r="N25" s="8">
        <f t="shared" si="17"/>
        <v>2.3053711308827607E-2</v>
      </c>
      <c r="O25" s="8">
        <f t="shared" si="8"/>
        <v>3.5245370867775697E-2</v>
      </c>
      <c r="Q25" s="17" t="str">
        <f t="shared" si="9"/>
        <v>0005D79B</v>
      </c>
      <c r="R25" s="17" t="str">
        <f t="shared" si="16"/>
        <v>0000005D</v>
      </c>
      <c r="S25" s="17">
        <f t="shared" si="11"/>
        <v>93</v>
      </c>
      <c r="T25" s="32">
        <f t="shared" si="12"/>
        <v>2.325E-2</v>
      </c>
      <c r="U25" s="32">
        <f t="shared" si="13"/>
        <v>-0.84783135357433581</v>
      </c>
    </row>
    <row r="26" spans="1:21">
      <c r="A26">
        <v>1.6</v>
      </c>
      <c r="B26">
        <f t="shared" si="0"/>
        <v>1.7705199335503782E-9</v>
      </c>
      <c r="C26">
        <f t="shared" si="1"/>
        <v>1.6000000000000014</v>
      </c>
      <c r="D26" s="4">
        <f t="shared" si="14"/>
        <v>5242.8800000000047</v>
      </c>
      <c r="E26" s="8">
        <f t="shared" si="2"/>
        <v>3.9180374033561088E-2</v>
      </c>
      <c r="G26">
        <f t="shared" si="18"/>
        <v>1.7705199335503782E-9</v>
      </c>
      <c r="H26">
        <f t="shared" si="3"/>
        <v>28004</v>
      </c>
      <c r="I26">
        <f t="shared" si="4"/>
        <v>5242</v>
      </c>
      <c r="J26" s="8">
        <f t="shared" si="5"/>
        <v>3.9169245659940219E-2</v>
      </c>
      <c r="L26">
        <f t="shared" si="6"/>
        <v>1.7705199335503782E-9</v>
      </c>
      <c r="M26">
        <f t="shared" si="7"/>
        <v>28004</v>
      </c>
      <c r="N26" s="8">
        <f t="shared" si="17"/>
        <v>2.5292698589320602E-2</v>
      </c>
      <c r="O26" s="8">
        <f t="shared" si="8"/>
        <v>3.9169245659940219E-2</v>
      </c>
      <c r="Q26" s="17" t="str">
        <f t="shared" si="9"/>
        <v>000668DC</v>
      </c>
      <c r="R26" s="17" t="str">
        <f t="shared" si="16"/>
        <v>00000066</v>
      </c>
      <c r="S26" s="17">
        <f t="shared" si="11"/>
        <v>102</v>
      </c>
      <c r="T26" s="32">
        <f t="shared" si="12"/>
        <v>2.5499999999999998E-2</v>
      </c>
      <c r="U26" s="32">
        <f t="shared" si="13"/>
        <v>-0.81626460667314427</v>
      </c>
    </row>
    <row r="27" spans="1:21">
      <c r="A27">
        <v>1.7</v>
      </c>
      <c r="B27">
        <f t="shared" si="0"/>
        <v>1.9424530967488255E-9</v>
      </c>
      <c r="C27">
        <f t="shared" si="1"/>
        <v>1.6999999999999993</v>
      </c>
      <c r="D27" s="4">
        <f t="shared" si="14"/>
        <v>5570.5599999999977</v>
      </c>
      <c r="E27" s="8">
        <f t="shared" si="2"/>
        <v>4.3551892537529405E-2</v>
      </c>
      <c r="G27">
        <f t="shared" si="18"/>
        <v>1.9424530967488255E-9</v>
      </c>
      <c r="H27">
        <f t="shared" si="3"/>
        <v>30723</v>
      </c>
      <c r="I27">
        <f t="shared" si="4"/>
        <v>5570</v>
      </c>
      <c r="J27" s="8">
        <f t="shared" si="5"/>
        <v>4.3544020304574417E-2</v>
      </c>
      <c r="L27">
        <f t="shared" si="6"/>
        <v>1.9424530967488255E-9</v>
      </c>
      <c r="M27">
        <f t="shared" si="7"/>
        <v>30723</v>
      </c>
      <c r="N27" s="8">
        <f t="shared" si="17"/>
        <v>2.7748449462923042E-2</v>
      </c>
      <c r="O27" s="8">
        <f t="shared" si="8"/>
        <v>4.3544020304574417E-2</v>
      </c>
      <c r="Q27" s="17" t="str">
        <f t="shared" si="9"/>
        <v>0007082D</v>
      </c>
      <c r="R27" s="17" t="str">
        <f t="shared" si="16"/>
        <v>00000070</v>
      </c>
      <c r="S27" s="17">
        <f t="shared" si="11"/>
        <v>112</v>
      </c>
      <c r="T27" s="32">
        <f t="shared" si="12"/>
        <v>2.8000000000000001E-2</v>
      </c>
      <c r="U27" s="32">
        <f t="shared" si="13"/>
        <v>-0.90244855058887063</v>
      </c>
    </row>
    <row r="28" spans="1:21">
      <c r="A28">
        <v>1.8</v>
      </c>
      <c r="B28">
        <f t="shared" si="0"/>
        <v>2.1310824925325567E-9</v>
      </c>
      <c r="C28">
        <f t="shared" si="1"/>
        <v>1.8000000000000007</v>
      </c>
      <c r="D28" s="4">
        <f t="shared" si="14"/>
        <v>5898.2400000000025</v>
      </c>
      <c r="E28" s="8">
        <f t="shared" si="2"/>
        <v>4.8411159678460082E-2</v>
      </c>
      <c r="G28">
        <f t="shared" si="18"/>
        <v>2.1310824925325567E-9</v>
      </c>
      <c r="H28">
        <f t="shared" si="3"/>
        <v>33707</v>
      </c>
      <c r="I28">
        <f t="shared" si="4"/>
        <v>5898</v>
      </c>
      <c r="J28" s="8">
        <f t="shared" si="5"/>
        <v>4.8407409240060477E-2</v>
      </c>
      <c r="L28">
        <f t="shared" si="6"/>
        <v>2.1310824925325567E-9</v>
      </c>
      <c r="M28">
        <f t="shared" si="7"/>
        <v>33707</v>
      </c>
      <c r="N28" s="8">
        <f t="shared" si="17"/>
        <v>3.0443543470583829E-2</v>
      </c>
      <c r="O28" s="8">
        <f t="shared" si="8"/>
        <v>4.8407409240060477E-2</v>
      </c>
      <c r="Q28" s="17" t="str">
        <f t="shared" si="9"/>
        <v>0007B705</v>
      </c>
      <c r="R28" s="17" t="str">
        <f t="shared" si="16"/>
        <v>0000007B</v>
      </c>
      <c r="S28" s="17">
        <f t="shared" si="11"/>
        <v>123</v>
      </c>
      <c r="T28" s="32">
        <f t="shared" si="12"/>
        <v>3.075E-2</v>
      </c>
      <c r="U28" s="32">
        <f t="shared" si="13"/>
        <v>-1.0015975935875867</v>
      </c>
    </row>
    <row r="29" spans="1:21">
      <c r="A29">
        <v>1.9</v>
      </c>
      <c r="B29">
        <f t="shared" si="0"/>
        <v>2.3380294729278661E-9</v>
      </c>
      <c r="C29">
        <f t="shared" si="1"/>
        <v>1.8999999999999986</v>
      </c>
      <c r="D29" s="4">
        <f t="shared" si="14"/>
        <v>6225.9199999999955</v>
      </c>
      <c r="E29" s="8">
        <f t="shared" si="2"/>
        <v>5.3812595615536002E-2</v>
      </c>
      <c r="G29">
        <f t="shared" si="18"/>
        <v>2.3380294729278661E-9</v>
      </c>
      <c r="H29">
        <f t="shared" si="3"/>
        <v>36980</v>
      </c>
      <c r="I29">
        <f t="shared" si="4"/>
        <v>6225</v>
      </c>
      <c r="J29" s="8">
        <f t="shared" si="5"/>
        <v>5.379661662231925E-2</v>
      </c>
      <c r="L29">
        <f t="shared" si="6"/>
        <v>2.3380294729278661E-9</v>
      </c>
      <c r="M29">
        <f t="shared" si="7"/>
        <v>36980</v>
      </c>
      <c r="N29" s="8">
        <f t="shared" si="17"/>
        <v>3.3399656971613907E-2</v>
      </c>
      <c r="O29" s="8">
        <f t="shared" si="8"/>
        <v>5.379661662231925E-2</v>
      </c>
      <c r="Q29" s="17" t="str">
        <f t="shared" si="9"/>
        <v>000876CC</v>
      </c>
      <c r="R29" s="17" t="str">
        <f t="shared" si="16"/>
        <v>00000087</v>
      </c>
      <c r="S29" s="17">
        <f t="shared" si="11"/>
        <v>135</v>
      </c>
      <c r="T29" s="32">
        <f t="shared" si="12"/>
        <v>3.3750000000000002E-2</v>
      </c>
      <c r="U29" s="32">
        <f t="shared" si="13"/>
        <v>-1.0434693018139918</v>
      </c>
    </row>
    <row r="30" spans="1:21">
      <c r="A30">
        <v>2</v>
      </c>
      <c r="B30">
        <f t="shared" si="0"/>
        <v>2.5650728375996285E-9</v>
      </c>
      <c r="C30">
        <f t="shared" si="1"/>
        <v>2</v>
      </c>
      <c r="D30" s="4">
        <f t="shared" si="14"/>
        <v>6553.6</v>
      </c>
      <c r="E30" s="8">
        <f t="shared" si="2"/>
        <v>5.9816692393131476E-2</v>
      </c>
      <c r="G30">
        <f t="shared" si="18"/>
        <v>2.5650728375996285E-9</v>
      </c>
      <c r="H30">
        <f t="shared" si="3"/>
        <v>40572</v>
      </c>
      <c r="I30">
        <f t="shared" si="4"/>
        <v>6553</v>
      </c>
      <c r="J30" s="8">
        <f t="shared" si="5"/>
        <v>5.9805107988471044E-2</v>
      </c>
      <c r="L30">
        <f t="shared" si="6"/>
        <v>2.5650728375996285E-9</v>
      </c>
      <c r="M30">
        <f t="shared" si="7"/>
        <v>40572</v>
      </c>
      <c r="N30" s="8">
        <f t="shared" si="17"/>
        <v>3.6643885415151956E-2</v>
      </c>
      <c r="O30" s="8">
        <f t="shared" si="8"/>
        <v>5.9805107988471044E-2</v>
      </c>
      <c r="Q30" s="17" t="str">
        <f t="shared" si="9"/>
        <v>00094944</v>
      </c>
      <c r="R30" s="17" t="str">
        <f t="shared" si="16"/>
        <v>00000094</v>
      </c>
      <c r="S30" s="17">
        <f t="shared" si="11"/>
        <v>148</v>
      </c>
      <c r="T30" s="32">
        <f t="shared" si="12"/>
        <v>3.6999999999999998E-2</v>
      </c>
      <c r="U30" s="32">
        <f t="shared" si="13"/>
        <v>-0.96712600873927645</v>
      </c>
    </row>
    <row r="31" spans="1:21">
      <c r="A31">
        <v>2.1</v>
      </c>
      <c r="B31">
        <f t="shared" si="0"/>
        <v>2.8141641234111198E-9</v>
      </c>
      <c r="C31">
        <f t="shared" si="1"/>
        <v>2.1000000000000014</v>
      </c>
      <c r="D31" s="4">
        <f t="shared" si="14"/>
        <v>6881.2800000000052</v>
      </c>
      <c r="E31" s="8">
        <f t="shared" si="2"/>
        <v>6.6490691406483907E-2</v>
      </c>
      <c r="G31">
        <f t="shared" si="18"/>
        <v>2.8141641234111198E-9</v>
      </c>
      <c r="H31">
        <f t="shared" si="3"/>
        <v>44511</v>
      </c>
      <c r="I31">
        <f t="shared" si="4"/>
        <v>6881</v>
      </c>
      <c r="J31" s="8">
        <f t="shared" si="5"/>
        <v>6.6484681864338535E-2</v>
      </c>
      <c r="L31">
        <f t="shared" si="6"/>
        <v>2.8141641234111198E-9</v>
      </c>
      <c r="M31">
        <f t="shared" si="7"/>
        <v>44511</v>
      </c>
      <c r="N31" s="8">
        <f t="shared" si="17"/>
        <v>4.020151788706075E-2</v>
      </c>
      <c r="O31" s="8">
        <f t="shared" si="8"/>
        <v>6.6484681864338535E-2</v>
      </c>
      <c r="Q31" s="17" t="str">
        <f t="shared" si="9"/>
        <v>000A3011</v>
      </c>
      <c r="R31" s="17" t="str">
        <f t="shared" si="16"/>
        <v>000000A3</v>
      </c>
      <c r="S31" s="17">
        <f t="shared" si="11"/>
        <v>163</v>
      </c>
      <c r="T31" s="32">
        <f t="shared" si="12"/>
        <v>4.0750000000000001E-2</v>
      </c>
      <c r="U31" s="32">
        <f t="shared" si="13"/>
        <v>-1.3550879026245417</v>
      </c>
    </row>
    <row r="32" spans="1:21">
      <c r="A32">
        <v>2.2000000000000002</v>
      </c>
      <c r="B32">
        <f t="shared" si="0"/>
        <v>3.0874443787355609E-9</v>
      </c>
      <c r="C32">
        <f t="shared" si="1"/>
        <v>2.1999999999999993</v>
      </c>
      <c r="D32" s="4">
        <f t="shared" si="14"/>
        <v>7208.9599999999982</v>
      </c>
      <c r="E32" s="8">
        <f t="shared" si="2"/>
        <v>7.3909336455051183E-2</v>
      </c>
      <c r="G32">
        <f t="shared" si="18"/>
        <v>3.0874443787355609E-9</v>
      </c>
      <c r="H32">
        <f t="shared" si="3"/>
        <v>48834</v>
      </c>
      <c r="I32">
        <f t="shared" si="4"/>
        <v>7208</v>
      </c>
      <c r="J32" s="8">
        <f t="shared" si="5"/>
        <v>7.3886435933298356E-2</v>
      </c>
      <c r="L32">
        <f t="shared" si="6"/>
        <v>3.0874443787355609E-9</v>
      </c>
      <c r="M32">
        <f t="shared" si="7"/>
        <v>48834</v>
      </c>
      <c r="N32" s="8">
        <f t="shared" si="17"/>
        <v>4.410597210794466E-2</v>
      </c>
      <c r="O32" s="8">
        <f t="shared" si="8"/>
        <v>7.3886435933298356E-2</v>
      </c>
      <c r="Q32" s="17" t="str">
        <f t="shared" si="9"/>
        <v>000B2D5E</v>
      </c>
      <c r="R32" s="17" t="str">
        <f t="shared" si="16"/>
        <v>000000B2</v>
      </c>
      <c r="S32" s="17">
        <f t="shared" si="11"/>
        <v>178</v>
      </c>
      <c r="T32" s="32">
        <f t="shared" si="12"/>
        <v>4.4499999999999998E-2</v>
      </c>
      <c r="U32" s="32">
        <f t="shared" si="13"/>
        <v>-0.88939353111618957</v>
      </c>
    </row>
    <row r="33" spans="1:21">
      <c r="A33">
        <v>2.2999999999999998</v>
      </c>
      <c r="B33">
        <f t="shared" si="0"/>
        <v>3.3872625667018632E-9</v>
      </c>
      <c r="C33">
        <f t="shared" si="1"/>
        <v>2.3000000000000007</v>
      </c>
      <c r="D33" s="4">
        <f t="shared" si="14"/>
        <v>7536.6400000000031</v>
      </c>
      <c r="E33" s="8">
        <f t="shared" si="2"/>
        <v>8.2155710817187963E-2</v>
      </c>
      <c r="G33">
        <f t="shared" si="18"/>
        <v>3.3872625667018632E-9</v>
      </c>
      <c r="H33">
        <f t="shared" si="3"/>
        <v>53576</v>
      </c>
      <c r="I33">
        <f t="shared" si="4"/>
        <v>7536</v>
      </c>
      <c r="J33" s="8">
        <f t="shared" si="5"/>
        <v>8.2138739521415885E-2</v>
      </c>
      <c r="L33">
        <f t="shared" si="6"/>
        <v>3.3872625667018632E-9</v>
      </c>
      <c r="M33">
        <f t="shared" si="7"/>
        <v>53576</v>
      </c>
      <c r="N33" s="8">
        <f t="shared" si="17"/>
        <v>4.8388859435132145E-2</v>
      </c>
      <c r="O33" s="8">
        <f t="shared" si="8"/>
        <v>8.2138739521415885E-2</v>
      </c>
      <c r="Q33" s="17" t="str">
        <f t="shared" si="9"/>
        <v>000C4338</v>
      </c>
      <c r="R33" s="17" t="str">
        <f t="shared" si="16"/>
        <v>000000C4</v>
      </c>
      <c r="S33" s="17">
        <f t="shared" si="11"/>
        <v>196</v>
      </c>
      <c r="T33" s="32">
        <f t="shared" si="12"/>
        <v>4.9000000000000002E-2</v>
      </c>
      <c r="U33" s="32">
        <f t="shared" si="13"/>
        <v>-1.2550523097047248</v>
      </c>
    </row>
    <row r="34" spans="1:21">
      <c r="A34">
        <v>2.4</v>
      </c>
      <c r="B34">
        <f t="shared" si="0"/>
        <v>3.7161957555583741E-9</v>
      </c>
      <c r="C34">
        <f t="shared" si="1"/>
        <v>2.3999999999999986</v>
      </c>
      <c r="D34" s="4">
        <f t="shared" si="14"/>
        <v>7864.3199999999961</v>
      </c>
      <c r="E34" s="8">
        <f t="shared" si="2"/>
        <v>9.1322167720748193E-2</v>
      </c>
      <c r="G34">
        <f t="shared" si="18"/>
        <v>3.7161957555583741E-9</v>
      </c>
      <c r="H34">
        <f t="shared" si="3"/>
        <v>58779</v>
      </c>
      <c r="I34">
        <f t="shared" si="4"/>
        <v>7864</v>
      </c>
      <c r="J34" s="8">
        <f t="shared" si="5"/>
        <v>9.1312734806395568E-2</v>
      </c>
      <c r="L34">
        <f t="shared" si="6"/>
        <v>3.7161957555583741E-9</v>
      </c>
      <c r="M34">
        <f t="shared" si="7"/>
        <v>58779</v>
      </c>
      <c r="N34" s="8">
        <f t="shared" si="17"/>
        <v>5.3088113497417357E-2</v>
      </c>
      <c r="O34" s="8">
        <f t="shared" si="8"/>
        <v>9.1312734806395568E-2</v>
      </c>
      <c r="Q34" s="17" t="str">
        <f t="shared" si="9"/>
        <v>000D7415</v>
      </c>
      <c r="R34" s="17" t="str">
        <f t="shared" si="16"/>
        <v>000000D7</v>
      </c>
      <c r="S34" s="17">
        <f t="shared" si="11"/>
        <v>215</v>
      </c>
      <c r="T34" s="32">
        <f t="shared" si="12"/>
        <v>5.3749999999999999E-2</v>
      </c>
      <c r="U34" s="32">
        <f t="shared" si="13"/>
        <v>-1.2390456568640977</v>
      </c>
    </row>
    <row r="35" spans="1:21">
      <c r="A35">
        <v>2.5</v>
      </c>
      <c r="B35">
        <f t="shared" si="0"/>
        <v>4.0770712696999046E-9</v>
      </c>
      <c r="C35">
        <f t="shared" si="1"/>
        <v>2.5</v>
      </c>
      <c r="D35" s="4">
        <f t="shared" si="14"/>
        <v>8192</v>
      </c>
      <c r="E35" s="8">
        <f t="shared" si="2"/>
        <v>0.10151136463019587</v>
      </c>
      <c r="G35">
        <f t="shared" si="18"/>
        <v>4.0770712696999046E-9</v>
      </c>
      <c r="H35">
        <f t="shared" si="3"/>
        <v>64487</v>
      </c>
      <c r="I35">
        <f t="shared" si="4"/>
        <v>8192</v>
      </c>
      <c r="J35" s="8">
        <f t="shared" si="5"/>
        <v>0.10151136463019587</v>
      </c>
      <c r="L35">
        <f t="shared" si="6"/>
        <v>4.0770712696999046E-9</v>
      </c>
      <c r="M35">
        <f t="shared" si="7"/>
        <v>64487</v>
      </c>
      <c r="N35" s="8">
        <f t="shared" si="17"/>
        <v>5.8243474286870364E-2</v>
      </c>
      <c r="O35" s="8">
        <f t="shared" si="8"/>
        <v>0.10151136463019587</v>
      </c>
      <c r="Q35" s="17" t="str">
        <f t="shared" si="9"/>
        <v>000EC289</v>
      </c>
      <c r="R35" s="17" t="str">
        <f t="shared" si="16"/>
        <v>000000EC</v>
      </c>
      <c r="S35" s="17">
        <f t="shared" si="11"/>
        <v>236</v>
      </c>
      <c r="T35" s="32">
        <f t="shared" si="12"/>
        <v>5.8999999999999997E-2</v>
      </c>
      <c r="U35" s="32">
        <f t="shared" si="13"/>
        <v>-1.2905208033644104</v>
      </c>
    </row>
    <row r="36" spans="1:21">
      <c r="A36">
        <v>2.6</v>
      </c>
      <c r="B36">
        <f t="shared" si="0"/>
        <v>4.4729909917554364E-9</v>
      </c>
      <c r="C36">
        <f t="shared" si="1"/>
        <v>2.6000000000000014</v>
      </c>
      <c r="D36" s="4">
        <f t="shared" si="14"/>
        <v>8519.6800000000057</v>
      </c>
      <c r="E36" s="8">
        <f t="shared" si="2"/>
        <v>0.11283741293345811</v>
      </c>
      <c r="G36">
        <f t="shared" si="18"/>
        <v>4.4729909917554364E-9</v>
      </c>
      <c r="H36">
        <f t="shared" si="3"/>
        <v>70749</v>
      </c>
      <c r="I36">
        <f t="shared" si="4"/>
        <v>8519</v>
      </c>
      <c r="J36" s="8">
        <f t="shared" si="5"/>
        <v>0.11281264689744602</v>
      </c>
      <c r="L36">
        <f t="shared" si="6"/>
        <v>4.4729909917554364E-9</v>
      </c>
      <c r="M36">
        <f t="shared" si="7"/>
        <v>70749</v>
      </c>
      <c r="N36" s="8">
        <f t="shared" si="17"/>
        <v>6.3899197703751007E-2</v>
      </c>
      <c r="O36" s="8">
        <f t="shared" si="8"/>
        <v>0.11281264689744602</v>
      </c>
      <c r="Q36" s="17" t="str">
        <f t="shared" si="9"/>
        <v>00103173</v>
      </c>
      <c r="R36" s="17" t="str">
        <f t="shared" si="16"/>
        <v>00000103</v>
      </c>
      <c r="S36" s="17">
        <f t="shared" si="11"/>
        <v>259</v>
      </c>
      <c r="T36" s="32">
        <f t="shared" si="12"/>
        <v>6.4750000000000002E-2</v>
      </c>
      <c r="U36" s="32">
        <f t="shared" si="13"/>
        <v>-1.3226701937282095</v>
      </c>
    </row>
    <row r="37" spans="1:21">
      <c r="A37">
        <v>2.7</v>
      </c>
      <c r="B37">
        <f t="shared" si="0"/>
        <v>4.9073580246238579E-9</v>
      </c>
      <c r="C37">
        <f t="shared" si="1"/>
        <v>2.6999999999999993</v>
      </c>
      <c r="D37" s="4">
        <f t="shared" si="14"/>
        <v>8847.3599999999988</v>
      </c>
      <c r="E37" s="8">
        <f t="shared" si="2"/>
        <v>0.12542715590416076</v>
      </c>
      <c r="G37">
        <f t="shared" si="18"/>
        <v>4.9073580246238579E-9</v>
      </c>
      <c r="H37">
        <f t="shared" si="3"/>
        <v>77620</v>
      </c>
      <c r="I37">
        <f t="shared" si="4"/>
        <v>8847</v>
      </c>
      <c r="J37" s="8">
        <f t="shared" si="5"/>
        <v>0.12541258082330572</v>
      </c>
      <c r="L37">
        <f t="shared" si="6"/>
        <v>4.9073580246238579E-9</v>
      </c>
      <c r="M37">
        <f t="shared" si="7"/>
        <v>77620</v>
      </c>
      <c r="N37" s="8">
        <f t="shared" si="17"/>
        <v>7.0104958738146872E-2</v>
      </c>
      <c r="O37" s="8">
        <f t="shared" si="8"/>
        <v>0.12541258082330572</v>
      </c>
      <c r="Q37" s="17" t="str">
        <f t="shared" si="9"/>
        <v>0011C40C</v>
      </c>
      <c r="R37" s="17" t="str">
        <f t="shared" si="16"/>
        <v>0000011C</v>
      </c>
      <c r="S37" s="17">
        <f t="shared" si="11"/>
        <v>284</v>
      </c>
      <c r="T37" s="32">
        <f t="shared" si="12"/>
        <v>7.0999999999999994E-2</v>
      </c>
      <c r="U37" s="32">
        <f t="shared" si="13"/>
        <v>-1.2686177294648862</v>
      </c>
    </row>
    <row r="38" spans="1:21">
      <c r="A38">
        <v>2.8</v>
      </c>
      <c r="B38">
        <f t="shared" si="0"/>
        <v>5.3839059426294884E-9</v>
      </c>
      <c r="C38">
        <f t="shared" si="1"/>
        <v>2.8000000000000007</v>
      </c>
      <c r="D38" s="4">
        <f t="shared" si="14"/>
        <v>9175.0400000000027</v>
      </c>
      <c r="E38" s="8">
        <f t="shared" si="2"/>
        <v>0.13942158925146647</v>
      </c>
      <c r="G38">
        <f t="shared" si="18"/>
        <v>5.3839059426294884E-9</v>
      </c>
      <c r="H38">
        <f t="shared" si="3"/>
        <v>85157</v>
      </c>
      <c r="I38">
        <f t="shared" si="4"/>
        <v>9175</v>
      </c>
      <c r="J38" s="8">
        <f t="shared" si="5"/>
        <v>0.13941978901585619</v>
      </c>
      <c r="L38">
        <f t="shared" si="6"/>
        <v>5.3839059426294884E-9</v>
      </c>
      <c r="M38">
        <f t="shared" si="7"/>
        <v>85157</v>
      </c>
      <c r="N38" s="8">
        <f t="shared" si="17"/>
        <v>7.6912238743421457E-2</v>
      </c>
      <c r="O38" s="8">
        <f t="shared" si="8"/>
        <v>0.13941978901585619</v>
      </c>
      <c r="Q38" s="17" t="str">
        <f t="shared" si="9"/>
        <v>00137DAB</v>
      </c>
      <c r="R38" s="17" t="str">
        <f t="shared" si="16"/>
        <v>00000137</v>
      </c>
      <c r="S38" s="17">
        <f t="shared" si="11"/>
        <v>311</v>
      </c>
      <c r="T38" s="32">
        <f t="shared" si="12"/>
        <v>7.775E-2</v>
      </c>
      <c r="U38" s="32">
        <f t="shared" si="13"/>
        <v>-1.0833429845385276</v>
      </c>
    </row>
    <row r="39" spans="1:21">
      <c r="A39">
        <v>2.9</v>
      </c>
      <c r="B39">
        <f t="shared" si="0"/>
        <v>5.9067308832236231E-9</v>
      </c>
      <c r="C39">
        <f t="shared" si="1"/>
        <v>2.8999999999999986</v>
      </c>
      <c r="D39" s="4">
        <f t="shared" si="14"/>
        <v>9502.7199999999957</v>
      </c>
      <c r="E39" s="8">
        <f t="shared" si="2"/>
        <v>0.15497744016660539</v>
      </c>
      <c r="G39">
        <f t="shared" si="18"/>
        <v>5.9067308832236231E-9</v>
      </c>
      <c r="H39">
        <f t="shared" si="3"/>
        <v>93427</v>
      </c>
      <c r="I39">
        <f t="shared" si="4"/>
        <v>9502</v>
      </c>
      <c r="J39" s="8">
        <f t="shared" si="5"/>
        <v>0.15494142440169315</v>
      </c>
      <c r="L39">
        <f t="shared" si="6"/>
        <v>5.9067308832236231E-9</v>
      </c>
      <c r="M39">
        <f t="shared" si="7"/>
        <v>93427</v>
      </c>
      <c r="N39" s="8">
        <f t="shared" si="17"/>
        <v>8.43815508893178E-2</v>
      </c>
      <c r="O39" s="8">
        <f t="shared" si="8"/>
        <v>0.15494142440169315</v>
      </c>
      <c r="Q39" s="17" t="str">
        <f t="shared" si="9"/>
        <v>0015623D</v>
      </c>
      <c r="R39" s="17" t="str">
        <f t="shared" si="16"/>
        <v>00000156</v>
      </c>
      <c r="S39" s="17">
        <f t="shared" si="11"/>
        <v>342</v>
      </c>
      <c r="T39" s="32">
        <f t="shared" si="12"/>
        <v>8.5500000000000007E-2</v>
      </c>
      <c r="U39" s="32">
        <f t="shared" si="13"/>
        <v>-1.3167399341802635</v>
      </c>
    </row>
    <row r="40" spans="1:21">
      <c r="A40">
        <v>3</v>
      </c>
      <c r="B40">
        <f t="shared" si="0"/>
        <v>6.4803267550747554E-9</v>
      </c>
      <c r="C40">
        <f t="shared" si="1"/>
        <v>3</v>
      </c>
      <c r="D40" s="4">
        <f t="shared" si="14"/>
        <v>9830.4000000000015</v>
      </c>
      <c r="E40" s="8">
        <f t="shared" si="2"/>
        <v>0.17226892255025145</v>
      </c>
      <c r="G40">
        <f t="shared" si="18"/>
        <v>6.4803267550747554E-9</v>
      </c>
      <c r="H40">
        <f t="shared" si="3"/>
        <v>102499</v>
      </c>
      <c r="I40">
        <f t="shared" si="4"/>
        <v>9830</v>
      </c>
      <c r="J40" s="8">
        <f t="shared" si="5"/>
        <v>0.17224668018223221</v>
      </c>
      <c r="L40">
        <f t="shared" si="6"/>
        <v>6.4803267550747554E-9</v>
      </c>
      <c r="M40">
        <f t="shared" si="7"/>
        <v>102499</v>
      </c>
      <c r="N40" s="8">
        <f t="shared" si="17"/>
        <v>9.2575214708854894E-2</v>
      </c>
      <c r="O40" s="8">
        <f t="shared" si="8"/>
        <v>0.17224668018223221</v>
      </c>
      <c r="Q40" s="17" t="str">
        <f t="shared" si="9"/>
        <v>001775CD</v>
      </c>
      <c r="R40" s="17" t="str">
        <f t="shared" si="16"/>
        <v>00000177</v>
      </c>
      <c r="S40" s="17">
        <f t="shared" si="11"/>
        <v>375</v>
      </c>
      <c r="T40" s="32">
        <f t="shared" si="12"/>
        <v>9.375E-2</v>
      </c>
      <c r="U40" s="32">
        <f t="shared" si="13"/>
        <v>-1.2610051655979928</v>
      </c>
    </row>
    <row r="41" spans="1:21">
      <c r="A41">
        <v>3.1</v>
      </c>
      <c r="B41">
        <f t="shared" si="0"/>
        <v>7.1096238651758183E-9</v>
      </c>
      <c r="C41">
        <f t="shared" si="1"/>
        <v>3.1000000000000014</v>
      </c>
      <c r="D41" s="4">
        <f t="shared" si="14"/>
        <v>10158.080000000005</v>
      </c>
      <c r="E41" s="8">
        <f t="shared" si="2"/>
        <v>0.19148968807796363</v>
      </c>
      <c r="G41">
        <f t="shared" si="18"/>
        <v>7.1096238651758183E-9</v>
      </c>
      <c r="H41">
        <f t="shared" si="3"/>
        <v>112453</v>
      </c>
      <c r="I41">
        <f t="shared" si="4"/>
        <v>10158</v>
      </c>
      <c r="J41" s="8">
        <f t="shared" si="5"/>
        <v>0.19148474301412169</v>
      </c>
      <c r="L41">
        <f t="shared" si="6"/>
        <v>7.1096238651758183E-9</v>
      </c>
      <c r="M41">
        <f t="shared" si="7"/>
        <v>112453</v>
      </c>
      <c r="N41" s="8">
        <f t="shared" si="17"/>
        <v>0.10156548473306919</v>
      </c>
      <c r="O41" s="8">
        <f t="shared" si="8"/>
        <v>0.19148474301412169</v>
      </c>
      <c r="Q41" s="17" t="str">
        <f t="shared" si="9"/>
        <v>0019BD0B</v>
      </c>
      <c r="R41" s="17" t="str">
        <f t="shared" si="16"/>
        <v>0000019B</v>
      </c>
      <c r="S41" s="17">
        <f t="shared" si="11"/>
        <v>411</v>
      </c>
      <c r="T41" s="32">
        <f t="shared" si="12"/>
        <v>0.10274999999999999</v>
      </c>
      <c r="U41" s="32">
        <f t="shared" si="13"/>
        <v>-1.1594963235198099</v>
      </c>
    </row>
    <row r="42" spans="1:21">
      <c r="A42">
        <v>3.2</v>
      </c>
      <c r="B42">
        <f t="shared" ref="B42:B73" si="19">EXP((A42/_c1)-(_c2/_c1))</f>
        <v>7.8000312969857741E-9</v>
      </c>
      <c r="C42">
        <f t="shared" ref="C42:C73" si="20">_c1*LN(B42)+_c2</f>
        <v>3.1999999999999993</v>
      </c>
      <c r="D42" s="4">
        <f t="shared" si="14"/>
        <v>10485.759999999998</v>
      </c>
      <c r="E42" s="8">
        <f t="shared" ref="E42:E73" si="21">d1_*EXP(d2_*C42)</f>
        <v>0.21285499495417917</v>
      </c>
      <c r="G42">
        <f t="shared" si="18"/>
        <v>7.8000312969857741E-9</v>
      </c>
      <c r="H42">
        <f t="shared" ref="H42:H73" si="22">INT((G1_)*G42)</f>
        <v>123373</v>
      </c>
      <c r="I42">
        <f t="shared" ref="I42:I73" si="23">INT(m*LN(H42)+b)</f>
        <v>10485</v>
      </c>
      <c r="J42" s="8">
        <f t="shared" ref="J42:J73" si="24">d1_*EXP(d2_*I42/3276.8)</f>
        <v>0.2128027810343763</v>
      </c>
      <c r="L42">
        <f t="shared" si="6"/>
        <v>7.8000312969857741E-9</v>
      </c>
      <c r="M42">
        <f t="shared" ref="M42:M73" si="25">INT((G1_)*L42)</f>
        <v>123373</v>
      </c>
      <c r="N42" s="8">
        <f t="shared" si="17"/>
        <v>0.11142822821954901</v>
      </c>
      <c r="O42" s="8">
        <f t="shared" ref="O42:O73" si="26">d1_*EXP(d2_*I42/3276.8)</f>
        <v>0.2128027810343763</v>
      </c>
      <c r="Q42" s="17" t="str">
        <f t="shared" ref="Q42:Q73" si="27">DEC2HEX(M42*N,8)</f>
        <v>001C3CE3</v>
      </c>
      <c r="R42" s="17" t="str">
        <f t="shared" si="16"/>
        <v>000001C3</v>
      </c>
      <c r="S42" s="17">
        <f t="shared" ref="S42:S73" si="28">INT(INT(M42*N)/D)</f>
        <v>451</v>
      </c>
      <c r="T42" s="32">
        <f t="shared" ref="T42:T73" si="29">INT(INT(M42*N)/D)/4000</f>
        <v>0.11275</v>
      </c>
      <c r="U42" s="32">
        <f t="shared" ref="U42:U73" si="30">200*(N42-T42)/(N42+T42)</f>
        <v>-1.1792151191029283</v>
      </c>
    </row>
    <row r="43" spans="1:21">
      <c r="A43">
        <v>3.3</v>
      </c>
      <c r="B43">
        <f t="shared" si="19"/>
        <v>8.5574834038640439E-9</v>
      </c>
      <c r="C43">
        <f t="shared" si="20"/>
        <v>3.3000000000000007</v>
      </c>
      <c r="D43" s="4">
        <f t="shared" si="14"/>
        <v>10813.440000000002</v>
      </c>
      <c r="E43" s="8">
        <f t="shared" si="21"/>
        <v>0.23660411864317882</v>
      </c>
      <c r="G43">
        <f t="shared" si="18"/>
        <v>8.5574834038640439E-9</v>
      </c>
      <c r="H43">
        <f t="shared" si="22"/>
        <v>135354</v>
      </c>
      <c r="I43">
        <f t="shared" si="23"/>
        <v>10813</v>
      </c>
      <c r="J43" s="8">
        <f t="shared" si="24"/>
        <v>0.23657051500758783</v>
      </c>
      <c r="L43">
        <f t="shared" si="6"/>
        <v>8.5574834038640439E-9</v>
      </c>
      <c r="M43">
        <f t="shared" si="25"/>
        <v>135354</v>
      </c>
      <c r="N43" s="8">
        <f t="shared" si="17"/>
        <v>0.12224924742390018</v>
      </c>
      <c r="O43" s="8">
        <f t="shared" si="26"/>
        <v>0.23657051500758783</v>
      </c>
      <c r="Q43" s="17" t="str">
        <f t="shared" si="27"/>
        <v>001EFAE6</v>
      </c>
      <c r="R43" s="17" t="str">
        <f t="shared" si="16"/>
        <v>000001EF</v>
      </c>
      <c r="S43" s="17">
        <f t="shared" si="28"/>
        <v>495</v>
      </c>
      <c r="T43" s="32">
        <f t="shared" si="29"/>
        <v>0.12375</v>
      </c>
      <c r="U43" s="32">
        <f t="shared" si="30"/>
        <v>-1.2201277782884863</v>
      </c>
    </row>
    <row r="44" spans="1:21">
      <c r="A44">
        <v>3.4</v>
      </c>
      <c r="B44">
        <f t="shared" si="19"/>
        <v>9.3884908174288117E-9</v>
      </c>
      <c r="C44">
        <f t="shared" si="20"/>
        <v>3.3999999999999986</v>
      </c>
      <c r="D44" s="4">
        <f t="shared" si="14"/>
        <v>11141.119999999995</v>
      </c>
      <c r="E44" s="8">
        <f t="shared" si="21"/>
        <v>0.26300303157539828</v>
      </c>
      <c r="G44">
        <f t="shared" si="18"/>
        <v>9.3884908174288117E-9</v>
      </c>
      <c r="H44">
        <f t="shared" si="22"/>
        <v>148498</v>
      </c>
      <c r="I44">
        <f t="shared" si="23"/>
        <v>11141</v>
      </c>
      <c r="J44" s="8">
        <f t="shared" si="24"/>
        <v>0.26299284388541266</v>
      </c>
      <c r="L44">
        <f t="shared" si="6"/>
        <v>9.3884908174288117E-9</v>
      </c>
      <c r="M44">
        <f t="shared" si="25"/>
        <v>148498</v>
      </c>
      <c r="N44" s="8">
        <f t="shared" ref="N44:N75" si="31">M44*H1_</f>
        <v>0.13412066687319421</v>
      </c>
      <c r="O44" s="8">
        <f t="shared" si="26"/>
        <v>0.26299284388541266</v>
      </c>
      <c r="Q44" s="17" t="str">
        <f t="shared" si="27"/>
        <v>0021FD0E</v>
      </c>
      <c r="R44" s="17" t="str">
        <f t="shared" si="16"/>
        <v>0000021F</v>
      </c>
      <c r="S44" s="17">
        <f t="shared" si="28"/>
        <v>543</v>
      </c>
      <c r="T44" s="32">
        <f t="shared" si="29"/>
        <v>0.13575000000000001</v>
      </c>
      <c r="U44" s="32">
        <f t="shared" si="30"/>
        <v>-1.2074918298337205</v>
      </c>
    </row>
    <row r="45" spans="1:21">
      <c r="A45">
        <v>3.5</v>
      </c>
      <c r="B45">
        <f t="shared" si="19"/>
        <v>1.0300196409279042E-8</v>
      </c>
      <c r="C45">
        <f t="shared" si="20"/>
        <v>3.5</v>
      </c>
      <c r="D45" s="4">
        <f t="shared" si="14"/>
        <v>11468.800000000001</v>
      </c>
      <c r="E45" s="8">
        <f t="shared" si="21"/>
        <v>0.29234738183981474</v>
      </c>
      <c r="G45">
        <f t="shared" si="18"/>
        <v>1.0300196409279042E-8</v>
      </c>
      <c r="H45">
        <f t="shared" si="22"/>
        <v>162919</v>
      </c>
      <c r="I45">
        <f t="shared" si="23"/>
        <v>11468</v>
      </c>
      <c r="J45" s="8">
        <f t="shared" si="24"/>
        <v>0.29227189430349532</v>
      </c>
      <c r="L45">
        <f t="shared" si="6"/>
        <v>1.0300196409279042E-8</v>
      </c>
      <c r="M45">
        <f t="shared" si="25"/>
        <v>162919</v>
      </c>
      <c r="N45" s="8">
        <f t="shared" si="31"/>
        <v>0.1471454492741581</v>
      </c>
      <c r="O45" s="8">
        <f t="shared" si="26"/>
        <v>0.29227189430349532</v>
      </c>
      <c r="Q45" s="17" t="str">
        <f t="shared" si="27"/>
        <v>00254A09</v>
      </c>
      <c r="R45" s="17" t="str">
        <f t="shared" si="16"/>
        <v>00000254</v>
      </c>
      <c r="S45" s="17">
        <f t="shared" si="28"/>
        <v>596</v>
      </c>
      <c r="T45" s="32">
        <f t="shared" si="29"/>
        <v>0.14899999999999999</v>
      </c>
      <c r="U45" s="32">
        <f t="shared" si="30"/>
        <v>-1.2524593779086151</v>
      </c>
    </row>
    <row r="46" spans="1:21">
      <c r="A46">
        <v>3.6</v>
      </c>
      <c r="B46">
        <f t="shared" si="19"/>
        <v>1.1300436687094767E-8</v>
      </c>
      <c r="C46">
        <f t="shared" si="20"/>
        <v>3.6000000000000014</v>
      </c>
      <c r="D46" s="4">
        <f t="shared" si="14"/>
        <v>11796.480000000005</v>
      </c>
      <c r="E46" s="8">
        <f t="shared" si="21"/>
        <v>0.32496580422150984</v>
      </c>
      <c r="G46">
        <f t="shared" si="18"/>
        <v>1.1300436687094767E-8</v>
      </c>
      <c r="H46">
        <f t="shared" si="22"/>
        <v>178740</v>
      </c>
      <c r="I46">
        <f t="shared" si="23"/>
        <v>11796</v>
      </c>
      <c r="J46" s="8">
        <f t="shared" si="24"/>
        <v>0.32491545562297802</v>
      </c>
      <c r="L46">
        <f t="shared" si="6"/>
        <v>1.1300436687094767E-8</v>
      </c>
      <c r="M46">
        <f t="shared" si="25"/>
        <v>178740</v>
      </c>
      <c r="N46" s="8">
        <f t="shared" si="31"/>
        <v>0.16143468596826041</v>
      </c>
      <c r="O46" s="8">
        <f t="shared" si="26"/>
        <v>0.32491545562297802</v>
      </c>
      <c r="Q46" s="17" t="str">
        <f t="shared" si="27"/>
        <v>0028E90C</v>
      </c>
      <c r="R46" s="17" t="str">
        <f t="shared" si="16"/>
        <v>0000028E</v>
      </c>
      <c r="S46" s="17">
        <f t="shared" si="28"/>
        <v>654</v>
      </c>
      <c r="T46" s="32">
        <f t="shared" si="29"/>
        <v>0.16350000000000001</v>
      </c>
      <c r="U46" s="32">
        <f t="shared" si="30"/>
        <v>-1.2712179529773779</v>
      </c>
    </row>
    <row r="47" spans="1:21">
      <c r="A47">
        <v>3.7</v>
      </c>
      <c r="B47">
        <f t="shared" si="19"/>
        <v>1.2397809152842668E-8</v>
      </c>
      <c r="C47">
        <f t="shared" si="20"/>
        <v>3.6999999999999993</v>
      </c>
      <c r="D47" s="4">
        <f t="shared" si="14"/>
        <v>12124.159999999998</v>
      </c>
      <c r="E47" s="8">
        <f t="shared" si="21"/>
        <v>0.36122360066557707</v>
      </c>
      <c r="G47">
        <f t="shared" si="18"/>
        <v>1.2397809152842668E-8</v>
      </c>
      <c r="H47">
        <f t="shared" si="22"/>
        <v>196097</v>
      </c>
      <c r="I47">
        <f t="shared" si="23"/>
        <v>12124</v>
      </c>
      <c r="J47" s="8">
        <f t="shared" si="24"/>
        <v>0.36120494430115585</v>
      </c>
      <c r="L47">
        <f t="shared" si="6"/>
        <v>1.2397809152842668E-8</v>
      </c>
      <c r="M47">
        <f t="shared" si="25"/>
        <v>196097</v>
      </c>
      <c r="N47" s="8">
        <f t="shared" si="31"/>
        <v>0.17711120965826319</v>
      </c>
      <c r="O47" s="8">
        <f t="shared" si="26"/>
        <v>0.36120494430115585</v>
      </c>
      <c r="Q47" s="17" t="str">
        <f t="shared" si="27"/>
        <v>002CE20F</v>
      </c>
      <c r="R47" s="17" t="str">
        <f t="shared" si="16"/>
        <v>000002CE</v>
      </c>
      <c r="S47" s="17">
        <f t="shared" si="28"/>
        <v>718</v>
      </c>
      <c r="T47" s="32">
        <f t="shared" si="29"/>
        <v>0.17949999999999999</v>
      </c>
      <c r="U47" s="32">
        <f t="shared" si="30"/>
        <v>-1.3397169113253395</v>
      </c>
    </row>
    <row r="48" spans="1:21">
      <c r="A48">
        <v>3.8</v>
      </c>
      <c r="B48">
        <f t="shared" si="19"/>
        <v>1.3601746202059933E-8</v>
      </c>
      <c r="C48">
        <f t="shared" si="20"/>
        <v>3.8000000000000007</v>
      </c>
      <c r="D48" s="4">
        <f t="shared" si="14"/>
        <v>12451.840000000004</v>
      </c>
      <c r="E48" s="8">
        <f t="shared" si="21"/>
        <v>0.40152683138581152</v>
      </c>
      <c r="G48">
        <f t="shared" si="18"/>
        <v>1.3601746202059933E-8</v>
      </c>
      <c r="H48">
        <f t="shared" si="22"/>
        <v>215140</v>
      </c>
      <c r="I48">
        <f t="shared" si="23"/>
        <v>12451</v>
      </c>
      <c r="J48" s="8">
        <f t="shared" si="24"/>
        <v>0.40141796918506573</v>
      </c>
      <c r="L48">
        <f t="shared" si="6"/>
        <v>1.3601746202059933E-8</v>
      </c>
      <c r="M48">
        <f t="shared" si="25"/>
        <v>215140</v>
      </c>
      <c r="N48" s="8">
        <f t="shared" si="31"/>
        <v>0.1943104975898598</v>
      </c>
      <c r="O48" s="8">
        <f t="shared" si="26"/>
        <v>0.40141796918506573</v>
      </c>
      <c r="Q48" s="17" t="str">
        <f t="shared" si="27"/>
        <v>00313DDC</v>
      </c>
      <c r="R48" s="17" t="str">
        <f t="shared" si="16"/>
        <v>00000313</v>
      </c>
      <c r="S48" s="17">
        <f t="shared" si="28"/>
        <v>787</v>
      </c>
      <c r="T48" s="32">
        <f t="shared" si="29"/>
        <v>0.19675000000000001</v>
      </c>
      <c r="U48" s="32">
        <f t="shared" si="30"/>
        <v>-1.2476342791844623</v>
      </c>
    </row>
    <row r="49" spans="1:21">
      <c r="A49">
        <v>3.9</v>
      </c>
      <c r="B49">
        <f t="shared" si="19"/>
        <v>1.4922596199412474E-8</v>
      </c>
      <c r="C49">
        <f t="shared" si="20"/>
        <v>3.8999999999999986</v>
      </c>
      <c r="D49" s="4">
        <f t="shared" si="14"/>
        <v>12779.519999999997</v>
      </c>
      <c r="E49" s="8">
        <f t="shared" si="21"/>
        <v>0.44632686243552294</v>
      </c>
      <c r="G49">
        <f t="shared" si="18"/>
        <v>1.4922596199412474E-8</v>
      </c>
      <c r="H49">
        <f t="shared" si="22"/>
        <v>236032</v>
      </c>
      <c r="I49">
        <f t="shared" si="23"/>
        <v>12779</v>
      </c>
      <c r="J49" s="8">
        <f t="shared" si="24"/>
        <v>0.4462519485968115</v>
      </c>
      <c r="L49">
        <f t="shared" si="6"/>
        <v>1.4922596199412474E-8</v>
      </c>
      <c r="M49">
        <f t="shared" si="25"/>
        <v>236032</v>
      </c>
      <c r="N49" s="8">
        <f t="shared" si="31"/>
        <v>0.21317976837003713</v>
      </c>
      <c r="O49" s="8">
        <f t="shared" si="26"/>
        <v>0.4462519485968115</v>
      </c>
      <c r="Q49" s="17" t="str">
        <f t="shared" si="27"/>
        <v>00360600</v>
      </c>
      <c r="R49" s="17" t="str">
        <f t="shared" si="16"/>
        <v>00000360</v>
      </c>
      <c r="S49" s="17">
        <f t="shared" si="28"/>
        <v>864</v>
      </c>
      <c r="T49" s="32">
        <f t="shared" si="29"/>
        <v>0.216</v>
      </c>
      <c r="U49" s="32">
        <f t="shared" si="30"/>
        <v>-1.3142425798278885</v>
      </c>
    </row>
    <row r="50" spans="1:21">
      <c r="A50">
        <v>4</v>
      </c>
      <c r="B50">
        <f t="shared" si="19"/>
        <v>1.6371712427408454E-8</v>
      </c>
      <c r="C50">
        <f t="shared" si="20"/>
        <v>4</v>
      </c>
      <c r="D50" s="4">
        <f t="shared" si="14"/>
        <v>13107.2</v>
      </c>
      <c r="E50" s="8">
        <f t="shared" si="21"/>
        <v>0.49612542066990295</v>
      </c>
      <c r="G50">
        <f t="shared" si="18"/>
        <v>1.6371712427408454E-8</v>
      </c>
      <c r="H50">
        <f t="shared" si="22"/>
        <v>258953</v>
      </c>
      <c r="I50">
        <f t="shared" si="23"/>
        <v>13107</v>
      </c>
      <c r="J50" s="8">
        <f t="shared" si="24"/>
        <v>0.4960933912119953</v>
      </c>
      <c r="L50">
        <f t="shared" si="6"/>
        <v>1.6371712427408454E-8</v>
      </c>
      <c r="M50">
        <f t="shared" si="25"/>
        <v>258953</v>
      </c>
      <c r="N50" s="8">
        <f t="shared" si="31"/>
        <v>0.23388159469362726</v>
      </c>
      <c r="O50" s="8">
        <f t="shared" si="26"/>
        <v>0.4960933912119953</v>
      </c>
      <c r="Q50" s="17" t="str">
        <f t="shared" si="27"/>
        <v>003B4507</v>
      </c>
      <c r="R50" s="17" t="str">
        <f t="shared" si="16"/>
        <v>000003B4</v>
      </c>
      <c r="S50" s="17">
        <f t="shared" si="28"/>
        <v>948</v>
      </c>
      <c r="T50" s="32">
        <f t="shared" si="29"/>
        <v>0.23699999999999999</v>
      </c>
      <c r="U50" s="32">
        <f t="shared" si="30"/>
        <v>-1.3244965789761529</v>
      </c>
    </row>
    <row r="51" spans="1:21">
      <c r="A51">
        <v>4.0999999999999996</v>
      </c>
      <c r="B51">
        <f t="shared" si="19"/>
        <v>1.7961550672818742E-8</v>
      </c>
      <c r="C51">
        <f t="shared" si="20"/>
        <v>4.0999999999999979</v>
      </c>
      <c r="D51" s="4">
        <f t="shared" si="14"/>
        <v>13434.879999999994</v>
      </c>
      <c r="E51" s="8">
        <f t="shared" si="21"/>
        <v>0.55148021271169867</v>
      </c>
      <c r="G51">
        <f t="shared" si="18"/>
        <v>1.7961550672818742E-8</v>
      </c>
      <c r="H51">
        <f t="shared" si="22"/>
        <v>284099</v>
      </c>
      <c r="I51">
        <f t="shared" si="23"/>
        <v>13434</v>
      </c>
      <c r="J51" s="8">
        <f t="shared" si="24"/>
        <v>0.55132357618121952</v>
      </c>
      <c r="L51">
        <f t="shared" si="6"/>
        <v>1.7961550672818742E-8</v>
      </c>
      <c r="M51">
        <f t="shared" si="25"/>
        <v>284099</v>
      </c>
      <c r="N51" s="8">
        <f t="shared" si="31"/>
        <v>0.25659300016166953</v>
      </c>
      <c r="O51" s="8">
        <f t="shared" si="26"/>
        <v>0.55132357618121952</v>
      </c>
      <c r="Q51" s="17" t="str">
        <f t="shared" si="27"/>
        <v>0041066D</v>
      </c>
      <c r="R51" s="17" t="str">
        <f t="shared" si="16"/>
        <v>00000410</v>
      </c>
      <c r="S51" s="17">
        <f t="shared" si="28"/>
        <v>1040</v>
      </c>
      <c r="T51" s="32">
        <f t="shared" si="29"/>
        <v>0.26</v>
      </c>
      <c r="U51" s="32">
        <f t="shared" si="30"/>
        <v>-1.3190267143628542</v>
      </c>
    </row>
    <row r="52" spans="1:21">
      <c r="A52">
        <v>4.2</v>
      </c>
      <c r="B52">
        <f t="shared" si="19"/>
        <v>1.9705776289603747E-8</v>
      </c>
      <c r="C52">
        <f t="shared" si="20"/>
        <v>4.1999999999999993</v>
      </c>
      <c r="D52" s="4">
        <f t="shared" si="14"/>
        <v>13762.559999999998</v>
      </c>
      <c r="E52" s="8">
        <f t="shared" si="21"/>
        <v>0.61301117084845913</v>
      </c>
      <c r="G52">
        <f t="shared" si="18"/>
        <v>1.9705776289603747E-8</v>
      </c>
      <c r="H52">
        <f t="shared" si="22"/>
        <v>311688</v>
      </c>
      <c r="I52">
        <f t="shared" si="23"/>
        <v>13762</v>
      </c>
      <c r="J52" s="8">
        <f t="shared" si="24"/>
        <v>0.61290036586480023</v>
      </c>
      <c r="L52">
        <f t="shared" si="6"/>
        <v>1.9705776289603747E-8</v>
      </c>
      <c r="M52">
        <f t="shared" si="25"/>
        <v>311688</v>
      </c>
      <c r="N52" s="8">
        <f t="shared" si="31"/>
        <v>0.28151087837123839</v>
      </c>
      <c r="O52" s="8">
        <f t="shared" si="26"/>
        <v>0.61290036586480023</v>
      </c>
      <c r="Q52" s="17" t="str">
        <f t="shared" si="27"/>
        <v>004756F8</v>
      </c>
      <c r="R52" s="17" t="str">
        <f t="shared" si="16"/>
        <v>00000475</v>
      </c>
      <c r="S52" s="17">
        <f t="shared" si="28"/>
        <v>1141</v>
      </c>
      <c r="T52" s="32">
        <f t="shared" si="29"/>
        <v>0.28525</v>
      </c>
      <c r="U52" s="32">
        <f t="shared" si="30"/>
        <v>-1.319470616781852</v>
      </c>
    </row>
    <row r="53" spans="1:21">
      <c r="A53">
        <v>4.3</v>
      </c>
      <c r="B53">
        <f t="shared" si="19"/>
        <v>2.1619381658597619E-8</v>
      </c>
      <c r="C53">
        <f t="shared" si="20"/>
        <v>4.3000000000000007</v>
      </c>
      <c r="D53" s="4">
        <f t="shared" si="14"/>
        <v>14090.240000000003</v>
      </c>
      <c r="E53" s="8">
        <f t="shared" si="21"/>
        <v>0.6814073958106811</v>
      </c>
      <c r="G53">
        <f t="shared" si="18"/>
        <v>2.1619381658597619E-8</v>
      </c>
      <c r="H53">
        <f t="shared" si="22"/>
        <v>341955</v>
      </c>
      <c r="I53">
        <f t="shared" si="23"/>
        <v>14090</v>
      </c>
      <c r="J53" s="8">
        <f t="shared" si="24"/>
        <v>0.68135460681574633</v>
      </c>
      <c r="L53">
        <f t="shared" si="6"/>
        <v>2.1619381658597619E-8</v>
      </c>
      <c r="M53">
        <f t="shared" si="25"/>
        <v>341955</v>
      </c>
      <c r="N53" s="8">
        <f t="shared" si="31"/>
        <v>0.30884747700725346</v>
      </c>
      <c r="O53" s="8">
        <f t="shared" si="26"/>
        <v>0.68135460681574633</v>
      </c>
      <c r="Q53" s="17" t="str">
        <f t="shared" si="27"/>
        <v>004E446D</v>
      </c>
      <c r="R53" s="17" t="str">
        <f t="shared" si="16"/>
        <v>000004E4</v>
      </c>
      <c r="S53" s="17">
        <f t="shared" si="28"/>
        <v>1252</v>
      </c>
      <c r="T53" s="32">
        <f t="shared" si="29"/>
        <v>0.313</v>
      </c>
      <c r="U53" s="32">
        <f t="shared" si="30"/>
        <v>-1.3355438901935455</v>
      </c>
    </row>
    <row r="54" spans="1:21">
      <c r="A54">
        <v>4.4000000000000004</v>
      </c>
      <c r="B54">
        <f t="shared" si="19"/>
        <v>2.3718815053568441E-8</v>
      </c>
      <c r="C54">
        <f t="shared" si="20"/>
        <v>4.3999999999999986</v>
      </c>
      <c r="D54" s="4">
        <f t="shared" si="14"/>
        <v>14417.919999999996</v>
      </c>
      <c r="E54" s="8">
        <f t="shared" si="21"/>
        <v>0.75743487418482047</v>
      </c>
      <c r="G54">
        <f t="shared" si="18"/>
        <v>2.3718815053568441E-8</v>
      </c>
      <c r="H54">
        <f t="shared" si="22"/>
        <v>375162</v>
      </c>
      <c r="I54">
        <f t="shared" si="23"/>
        <v>14417</v>
      </c>
      <c r="J54" s="8">
        <f t="shared" si="24"/>
        <v>0.75720996314720379</v>
      </c>
      <c r="L54">
        <f t="shared" si="6"/>
        <v>2.3718815053568441E-8</v>
      </c>
      <c r="M54">
        <f t="shared" si="25"/>
        <v>375162</v>
      </c>
      <c r="N54" s="8">
        <f t="shared" si="31"/>
        <v>0.33883942965885927</v>
      </c>
      <c r="O54" s="8">
        <f t="shared" si="26"/>
        <v>0.75720996314720379</v>
      </c>
      <c r="Q54" s="17" t="str">
        <f t="shared" si="27"/>
        <v>0055DE26</v>
      </c>
      <c r="R54" s="17" t="str">
        <f t="shared" si="16"/>
        <v>0000055D</v>
      </c>
      <c r="S54" s="17">
        <f t="shared" si="28"/>
        <v>1373</v>
      </c>
      <c r="T54" s="32">
        <f t="shared" si="29"/>
        <v>0.34325</v>
      </c>
      <c r="U54" s="32">
        <f t="shared" si="30"/>
        <v>-1.2932528050893957</v>
      </c>
    </row>
    <row r="55" spans="1:21">
      <c r="A55">
        <v>4.5</v>
      </c>
      <c r="B55">
        <f t="shared" si="19"/>
        <v>2.6022122021314087E-8</v>
      </c>
      <c r="C55">
        <f t="shared" si="20"/>
        <v>4.5</v>
      </c>
      <c r="D55" s="4">
        <f t="shared" si="14"/>
        <v>14745.6</v>
      </c>
      <c r="E55" s="8">
        <f t="shared" si="21"/>
        <v>0.8419450568904201</v>
      </c>
      <c r="G55">
        <f t="shared" si="18"/>
        <v>2.6022122021314087E-8</v>
      </c>
      <c r="H55">
        <f t="shared" si="22"/>
        <v>411594</v>
      </c>
      <c r="I55">
        <f t="shared" si="23"/>
        <v>14745</v>
      </c>
      <c r="J55" s="8">
        <f t="shared" si="24"/>
        <v>0.84178200153161131</v>
      </c>
      <c r="L55">
        <f t="shared" si="6"/>
        <v>2.6022122021314087E-8</v>
      </c>
      <c r="M55">
        <f t="shared" si="25"/>
        <v>411594</v>
      </c>
      <c r="N55" s="8">
        <f t="shared" si="31"/>
        <v>0.37174414309287329</v>
      </c>
      <c r="O55" s="8">
        <f t="shared" si="26"/>
        <v>0.84178200153161131</v>
      </c>
      <c r="Q55" s="17" t="str">
        <f t="shared" si="27"/>
        <v>005E34D6</v>
      </c>
      <c r="R55" s="17" t="str">
        <f t="shared" si="16"/>
        <v>000005E3</v>
      </c>
      <c r="S55" s="17">
        <f t="shared" si="28"/>
        <v>1507</v>
      </c>
      <c r="T55" s="32">
        <f t="shared" si="29"/>
        <v>0.37674999999999997</v>
      </c>
      <c r="U55" s="32">
        <f t="shared" si="30"/>
        <v>-1.3375807822468304</v>
      </c>
    </row>
    <row r="56" spans="1:21">
      <c r="A56">
        <v>4.5999999999999996</v>
      </c>
      <c r="B56">
        <f t="shared" si="19"/>
        <v>2.8549100491016465E-8</v>
      </c>
      <c r="C56">
        <f t="shared" si="20"/>
        <v>4.6000000000000014</v>
      </c>
      <c r="D56" s="4">
        <f t="shared" si="14"/>
        <v>15073.280000000006</v>
      </c>
      <c r="E56" s="8">
        <f t="shared" si="21"/>
        <v>0.93588439479384467</v>
      </c>
      <c r="G56">
        <f t="shared" si="18"/>
        <v>2.8549100491016465E-8</v>
      </c>
      <c r="H56">
        <f t="shared" si="22"/>
        <v>451563</v>
      </c>
      <c r="I56">
        <f t="shared" si="23"/>
        <v>15073</v>
      </c>
      <c r="J56" s="8">
        <f t="shared" si="24"/>
        <v>0.93579980796530193</v>
      </c>
      <c r="L56">
        <f t="shared" si="6"/>
        <v>2.8549100491016465E-8</v>
      </c>
      <c r="M56">
        <f t="shared" si="25"/>
        <v>451563</v>
      </c>
      <c r="N56" s="8">
        <f t="shared" si="31"/>
        <v>0.40784340998033775</v>
      </c>
      <c r="O56" s="8">
        <f t="shared" si="26"/>
        <v>0.93579980796530193</v>
      </c>
      <c r="Q56" s="17" t="str">
        <f t="shared" si="27"/>
        <v>00675AC5</v>
      </c>
      <c r="R56" s="17" t="str">
        <f t="shared" si="16"/>
        <v>00000675</v>
      </c>
      <c r="S56" s="17">
        <f t="shared" si="28"/>
        <v>1653</v>
      </c>
      <c r="T56" s="32">
        <f t="shared" si="29"/>
        <v>0.41325000000000001</v>
      </c>
      <c r="U56" s="32">
        <f t="shared" si="30"/>
        <v>-1.3169244702114291</v>
      </c>
    </row>
    <row r="57" spans="1:21">
      <c r="A57">
        <v>4.7</v>
      </c>
      <c r="B57">
        <f t="shared" si="19"/>
        <v>3.1321470946088299E-8</v>
      </c>
      <c r="C57">
        <f t="shared" si="20"/>
        <v>4.6999999999999993</v>
      </c>
      <c r="D57" s="4">
        <f t="shared" si="14"/>
        <v>15400.96</v>
      </c>
      <c r="E57" s="8">
        <f t="shared" si="21"/>
        <v>1.0403049382504237</v>
      </c>
      <c r="G57">
        <f t="shared" si="18"/>
        <v>3.1321470946088299E-8</v>
      </c>
      <c r="H57">
        <f t="shared" si="22"/>
        <v>495414</v>
      </c>
      <c r="I57">
        <f t="shared" si="23"/>
        <v>15400</v>
      </c>
      <c r="J57" s="8">
        <f t="shared" si="24"/>
        <v>1.0399826037929567</v>
      </c>
      <c r="L57">
        <f t="shared" si="6"/>
        <v>3.1321470946088299E-8</v>
      </c>
      <c r="M57">
        <f t="shared" si="25"/>
        <v>495414</v>
      </c>
      <c r="N57" s="8">
        <f t="shared" si="31"/>
        <v>0.44744882798634755</v>
      </c>
      <c r="O57" s="8">
        <f t="shared" si="26"/>
        <v>1.0399826037929567</v>
      </c>
      <c r="Q57" s="17" t="str">
        <f t="shared" si="27"/>
        <v>0071642A</v>
      </c>
      <c r="R57" s="17" t="str">
        <f t="shared" si="16"/>
        <v>00000716</v>
      </c>
      <c r="S57" s="17">
        <f t="shared" si="28"/>
        <v>1814</v>
      </c>
      <c r="T57" s="32">
        <f t="shared" si="29"/>
        <v>0.45350000000000001</v>
      </c>
      <c r="U57" s="32">
        <f t="shared" si="30"/>
        <v>-1.3432887253268411</v>
      </c>
    </row>
    <row r="58" spans="1:21">
      <c r="A58">
        <v>4.8</v>
      </c>
      <c r="B58">
        <f t="shared" si="19"/>
        <v>3.4363063121213179E-8</v>
      </c>
      <c r="C58">
        <f t="shared" si="20"/>
        <v>4.8000000000000007</v>
      </c>
      <c r="D58" s="4">
        <f t="shared" si="14"/>
        <v>15728.640000000003</v>
      </c>
      <c r="E58" s="8">
        <f t="shared" si="21"/>
        <v>1.1563761192819288</v>
      </c>
      <c r="G58">
        <f t="shared" si="18"/>
        <v>3.4363063121213179E-8</v>
      </c>
      <c r="H58">
        <f t="shared" si="22"/>
        <v>543524</v>
      </c>
      <c r="I58">
        <f t="shared" si="23"/>
        <v>15728</v>
      </c>
      <c r="J58" s="8">
        <f t="shared" si="24"/>
        <v>1.1561372411692696</v>
      </c>
      <c r="L58">
        <f t="shared" si="6"/>
        <v>3.4363063121213179E-8</v>
      </c>
      <c r="M58">
        <f t="shared" si="25"/>
        <v>543524</v>
      </c>
      <c r="N58" s="8">
        <f t="shared" si="31"/>
        <v>0.49090089658841202</v>
      </c>
      <c r="O58" s="8">
        <f t="shared" si="26"/>
        <v>1.1561372411692696</v>
      </c>
      <c r="Q58" s="17" t="str">
        <f t="shared" si="27"/>
        <v>007C671C</v>
      </c>
      <c r="R58" s="17" t="str">
        <f t="shared" si="16"/>
        <v>000007C6</v>
      </c>
      <c r="S58" s="17">
        <f t="shared" si="28"/>
        <v>1990</v>
      </c>
      <c r="T58" s="32">
        <f t="shared" si="29"/>
        <v>0.4975</v>
      </c>
      <c r="U58" s="32">
        <f t="shared" si="30"/>
        <v>-1.3353090703105599</v>
      </c>
    </row>
    <row r="59" spans="1:21">
      <c r="A59">
        <v>4.9000000000000004</v>
      </c>
      <c r="B59">
        <f t="shared" si="19"/>
        <v>3.770002082932035E-8</v>
      </c>
      <c r="C59">
        <f t="shared" si="20"/>
        <v>4.9000000000000021</v>
      </c>
      <c r="D59" s="4">
        <f t="shared" si="14"/>
        <v>16056.320000000007</v>
      </c>
      <c r="E59" s="8">
        <f t="shared" si="21"/>
        <v>1.2853978483409241</v>
      </c>
      <c r="G59">
        <f t="shared" si="18"/>
        <v>3.770002082932035E-8</v>
      </c>
      <c r="H59">
        <f t="shared" si="22"/>
        <v>596304</v>
      </c>
      <c r="I59">
        <f t="shared" si="23"/>
        <v>16056</v>
      </c>
      <c r="J59" s="8">
        <f t="shared" si="24"/>
        <v>1.2852650761114033</v>
      </c>
      <c r="L59">
        <f t="shared" si="6"/>
        <v>3.770002082932035E-8</v>
      </c>
      <c r="M59">
        <f t="shared" si="25"/>
        <v>596304</v>
      </c>
      <c r="N59" s="8">
        <f t="shared" si="31"/>
        <v>0.53857082343973117</v>
      </c>
      <c r="O59" s="8">
        <f t="shared" si="26"/>
        <v>1.2852650761114033</v>
      </c>
      <c r="Q59" s="17" t="str">
        <f t="shared" si="27"/>
        <v>00887BB0</v>
      </c>
      <c r="R59" s="17" t="str">
        <f t="shared" si="16"/>
        <v>00000887</v>
      </c>
      <c r="S59" s="17">
        <f t="shared" si="28"/>
        <v>2183</v>
      </c>
      <c r="T59" s="32">
        <f t="shared" si="29"/>
        <v>0.54574999999999996</v>
      </c>
      <c r="U59" s="32">
        <f t="shared" si="30"/>
        <v>-1.3241794135235143</v>
      </c>
    </row>
    <row r="60" spans="1:21">
      <c r="A60">
        <v>5</v>
      </c>
      <c r="B60">
        <f t="shared" si="19"/>
        <v>4.1361026679073451E-8</v>
      </c>
      <c r="C60">
        <f t="shared" si="20"/>
        <v>5</v>
      </c>
      <c r="D60" s="4">
        <f t="shared" si="14"/>
        <v>16384</v>
      </c>
      <c r="E60" s="8">
        <f t="shared" si="21"/>
        <v>1.4288150723360338</v>
      </c>
      <c r="G60">
        <f t="shared" si="18"/>
        <v>4.1361026679073451E-8</v>
      </c>
      <c r="H60">
        <f t="shared" si="22"/>
        <v>654211</v>
      </c>
      <c r="I60">
        <f t="shared" si="23"/>
        <v>16384</v>
      </c>
      <c r="J60" s="8">
        <f t="shared" si="24"/>
        <v>1.4288150723360338</v>
      </c>
      <c r="L60">
        <f t="shared" si="6"/>
        <v>4.1361026679073451E-8</v>
      </c>
      <c r="M60">
        <f t="shared" si="25"/>
        <v>654211</v>
      </c>
      <c r="N60" s="8">
        <f t="shared" si="31"/>
        <v>0.59087136254885086</v>
      </c>
      <c r="O60" s="8">
        <f t="shared" si="26"/>
        <v>1.4288150723360338</v>
      </c>
      <c r="Q60" s="17" t="str">
        <f t="shared" si="27"/>
        <v>0095BCAD</v>
      </c>
      <c r="R60" s="17" t="str">
        <f t="shared" si="16"/>
        <v>0000095B</v>
      </c>
      <c r="S60" s="17">
        <f t="shared" si="28"/>
        <v>2395</v>
      </c>
      <c r="T60" s="32">
        <f t="shared" si="29"/>
        <v>0.59875</v>
      </c>
      <c r="U60" s="32">
        <f t="shared" si="30"/>
        <v>-1.3245622009121596</v>
      </c>
    </row>
    <row r="61" spans="1:21">
      <c r="A61">
        <v>5.0999999999999996</v>
      </c>
      <c r="B61">
        <f t="shared" si="19"/>
        <v>4.5377548614417218E-8</v>
      </c>
      <c r="C61">
        <f t="shared" si="20"/>
        <v>5.0999999999999979</v>
      </c>
      <c r="D61" s="4">
        <f t="shared" si="14"/>
        <v>16711.679999999993</v>
      </c>
      <c r="E61" s="8">
        <f t="shared" si="21"/>
        <v>1.5882339569570827</v>
      </c>
      <c r="G61">
        <f t="shared" si="18"/>
        <v>4.5377548614417218E-8</v>
      </c>
      <c r="H61">
        <f t="shared" si="22"/>
        <v>717741</v>
      </c>
      <c r="I61">
        <f t="shared" si="23"/>
        <v>16711</v>
      </c>
      <c r="J61" s="8">
        <f t="shared" si="24"/>
        <v>1.5878853646032665</v>
      </c>
      <c r="L61">
        <f t="shared" si="6"/>
        <v>4.5377548614417218E-8</v>
      </c>
      <c r="M61">
        <f t="shared" si="25"/>
        <v>717741</v>
      </c>
      <c r="N61" s="8">
        <f t="shared" si="31"/>
        <v>0.64825049200819729</v>
      </c>
      <c r="O61" s="8">
        <f t="shared" si="26"/>
        <v>1.5878853646032665</v>
      </c>
      <c r="Q61" s="17" t="str">
        <f t="shared" si="27"/>
        <v>00A44723</v>
      </c>
      <c r="R61" s="17" t="str">
        <f t="shared" si="16"/>
        <v>00000A44</v>
      </c>
      <c r="S61" s="17">
        <f t="shared" si="28"/>
        <v>2628</v>
      </c>
      <c r="T61" s="32">
        <f t="shared" si="29"/>
        <v>0.65700000000000003</v>
      </c>
      <c r="U61" s="32">
        <f t="shared" si="30"/>
        <v>-1.340663427499063</v>
      </c>
    </row>
    <row r="62" spans="1:21">
      <c r="A62">
        <v>5.2</v>
      </c>
      <c r="B62">
        <f t="shared" si="19"/>
        <v>4.978411039529671E-8</v>
      </c>
      <c r="C62">
        <f t="shared" si="20"/>
        <v>5.1999999999999993</v>
      </c>
      <c r="D62" s="4">
        <f t="shared" si="14"/>
        <v>17039.359999999997</v>
      </c>
      <c r="E62" s="8">
        <f t="shared" si="21"/>
        <v>1.7654398745300421</v>
      </c>
      <c r="G62">
        <f t="shared" si="18"/>
        <v>4.978411039529671E-8</v>
      </c>
      <c r="H62">
        <f t="shared" si="22"/>
        <v>787440</v>
      </c>
      <c r="I62">
        <f t="shared" si="23"/>
        <v>17039</v>
      </c>
      <c r="J62" s="8">
        <f t="shared" si="24"/>
        <v>1.7652347241482915</v>
      </c>
      <c r="L62">
        <f t="shared" si="6"/>
        <v>4.978411039529671E-8</v>
      </c>
      <c r="M62">
        <f t="shared" si="25"/>
        <v>787440</v>
      </c>
      <c r="N62" s="8">
        <f t="shared" si="31"/>
        <v>0.71120134899209453</v>
      </c>
      <c r="O62" s="8">
        <f t="shared" si="26"/>
        <v>1.7652347241482915</v>
      </c>
      <c r="Q62" s="17" t="str">
        <f t="shared" si="27"/>
        <v>00B43B10</v>
      </c>
      <c r="R62" s="17" t="str">
        <f t="shared" si="16"/>
        <v>00000B43</v>
      </c>
      <c r="S62" s="17">
        <f t="shared" si="28"/>
        <v>2883</v>
      </c>
      <c r="T62" s="32">
        <f t="shared" si="29"/>
        <v>0.72075</v>
      </c>
      <c r="U62" s="32">
        <f t="shared" si="30"/>
        <v>-1.3336557858095484</v>
      </c>
    </row>
    <row r="63" spans="1:21">
      <c r="A63">
        <v>5.3</v>
      </c>
      <c r="B63">
        <f t="shared" si="19"/>
        <v>5.4618588344449312E-8</v>
      </c>
      <c r="C63">
        <f t="shared" si="20"/>
        <v>5.3000000000000007</v>
      </c>
      <c r="D63" s="4">
        <f t="shared" si="14"/>
        <v>17367.040000000005</v>
      </c>
      <c r="E63" s="8">
        <f t="shared" si="21"/>
        <v>1.9624173988523255</v>
      </c>
      <c r="G63">
        <f t="shared" si="18"/>
        <v>5.4618588344449312E-8</v>
      </c>
      <c r="H63">
        <f t="shared" si="22"/>
        <v>863907</v>
      </c>
      <c r="I63">
        <f t="shared" si="23"/>
        <v>17367</v>
      </c>
      <c r="J63" s="8">
        <f t="shared" si="24"/>
        <v>1.9623920597803579</v>
      </c>
      <c r="L63">
        <f t="shared" si="6"/>
        <v>5.4618588344449312E-8</v>
      </c>
      <c r="M63">
        <f t="shared" si="25"/>
        <v>863907</v>
      </c>
      <c r="N63" s="8">
        <f t="shared" si="31"/>
        <v>0.78026493930167806</v>
      </c>
      <c r="O63" s="8">
        <f t="shared" si="26"/>
        <v>1.9623920597803579</v>
      </c>
      <c r="Q63" s="17" t="str">
        <f t="shared" si="27"/>
        <v>00C5BB8D</v>
      </c>
      <c r="R63" s="17" t="str">
        <f t="shared" si="16"/>
        <v>00000C5B</v>
      </c>
      <c r="S63" s="17">
        <f t="shared" si="28"/>
        <v>3163</v>
      </c>
      <c r="T63" s="32">
        <f t="shared" si="29"/>
        <v>0.79074999999999995</v>
      </c>
      <c r="U63" s="32">
        <f t="shared" si="30"/>
        <v>-1.3348136209299879</v>
      </c>
    </row>
    <row r="64" spans="1:21">
      <c r="A64">
        <v>5.4</v>
      </c>
      <c r="B64">
        <f t="shared" si="19"/>
        <v>5.9922536910938484E-8</v>
      </c>
      <c r="C64">
        <f t="shared" si="20"/>
        <v>5.3999999999999986</v>
      </c>
      <c r="D64" s="4">
        <f t="shared" si="14"/>
        <v>17694.719999999998</v>
      </c>
      <c r="E64" s="8">
        <f t="shared" si="21"/>
        <v>2.1813725309356475</v>
      </c>
      <c r="G64">
        <f t="shared" si="18"/>
        <v>5.9922536910938484E-8</v>
      </c>
      <c r="H64">
        <f t="shared" si="22"/>
        <v>947800</v>
      </c>
      <c r="I64">
        <f t="shared" si="23"/>
        <v>17694</v>
      </c>
      <c r="J64" s="8">
        <f t="shared" si="24"/>
        <v>2.1808655939248411</v>
      </c>
      <c r="L64">
        <f t="shared" si="6"/>
        <v>5.9922536910938484E-8</v>
      </c>
      <c r="M64">
        <f t="shared" si="25"/>
        <v>947800</v>
      </c>
      <c r="N64" s="8">
        <f t="shared" si="31"/>
        <v>0.85603555645472307</v>
      </c>
      <c r="O64" s="8">
        <f t="shared" si="26"/>
        <v>2.1808655939248411</v>
      </c>
      <c r="Q64" s="17" t="str">
        <f t="shared" si="27"/>
        <v>00D8EF28</v>
      </c>
      <c r="R64" s="17" t="str">
        <f t="shared" si="16"/>
        <v>00000D8E</v>
      </c>
      <c r="S64" s="17">
        <f t="shared" si="28"/>
        <v>3470</v>
      </c>
      <c r="T64" s="32">
        <f t="shared" si="29"/>
        <v>0.86750000000000005</v>
      </c>
      <c r="U64" s="32">
        <f t="shared" si="30"/>
        <v>-1.3303402418757293</v>
      </c>
    </row>
    <row r="65" spans="1:21">
      <c r="A65">
        <v>5.5</v>
      </c>
      <c r="B65">
        <f t="shared" si="19"/>
        <v>6.574154584878993E-8</v>
      </c>
      <c r="C65">
        <f t="shared" si="20"/>
        <v>5.5</v>
      </c>
      <c r="D65" s="4">
        <f t="shared" si="14"/>
        <v>18022.400000000001</v>
      </c>
      <c r="E65" s="8">
        <f t="shared" si="21"/>
        <v>2.4247574045681826</v>
      </c>
      <c r="G65">
        <f t="shared" si="18"/>
        <v>6.574154584878993E-8</v>
      </c>
      <c r="H65">
        <f t="shared" si="22"/>
        <v>1039840</v>
      </c>
      <c r="I65">
        <f t="shared" si="23"/>
        <v>18022</v>
      </c>
      <c r="J65" s="8">
        <f t="shared" si="24"/>
        <v>2.424444333900813</v>
      </c>
      <c r="L65">
        <f t="shared" si="6"/>
        <v>6.574154584878993E-8</v>
      </c>
      <c r="M65">
        <f t="shared" si="25"/>
        <v>1039840</v>
      </c>
      <c r="N65" s="8">
        <f t="shared" si="31"/>
        <v>0.9391643944121959</v>
      </c>
      <c r="O65" s="8">
        <f t="shared" si="26"/>
        <v>2.424444333900813</v>
      </c>
      <c r="Q65" s="17" t="str">
        <f t="shared" si="27"/>
        <v>00EE0020</v>
      </c>
      <c r="R65" s="17" t="str">
        <f t="shared" si="16"/>
        <v>00000EE0</v>
      </c>
      <c r="S65" s="17">
        <f t="shared" si="28"/>
        <v>3808</v>
      </c>
      <c r="T65" s="32">
        <f t="shared" si="29"/>
        <v>0.95199999999999996</v>
      </c>
      <c r="U65" s="32">
        <f t="shared" si="30"/>
        <v>-1.3574288544908404</v>
      </c>
    </row>
    <row r="66" spans="1:21">
      <c r="A66">
        <v>5.6</v>
      </c>
      <c r="B66">
        <f t="shared" si="19"/>
        <v>7.212563208083407E-8</v>
      </c>
      <c r="C66">
        <f t="shared" si="20"/>
        <v>5.6000000000000014</v>
      </c>
      <c r="D66" s="4">
        <f t="shared" si="14"/>
        <v>18350.080000000005</v>
      </c>
      <c r="E66" s="8">
        <f t="shared" si="21"/>
        <v>2.6952977483797231</v>
      </c>
      <c r="G66">
        <f t="shared" si="18"/>
        <v>7.212563208083407E-8</v>
      </c>
      <c r="H66">
        <f t="shared" si="22"/>
        <v>1140818</v>
      </c>
      <c r="I66">
        <f t="shared" si="23"/>
        <v>18350</v>
      </c>
      <c r="J66" s="8">
        <f t="shared" si="24"/>
        <v>2.6952281445301778</v>
      </c>
      <c r="L66">
        <f t="shared" si="6"/>
        <v>7.212563208083407E-8</v>
      </c>
      <c r="M66">
        <f t="shared" si="25"/>
        <v>1140818</v>
      </c>
      <c r="N66" s="8">
        <f t="shared" si="31"/>
        <v>1.0303658698497196</v>
      </c>
      <c r="O66" s="8">
        <f t="shared" si="26"/>
        <v>2.6952281445301778</v>
      </c>
      <c r="Q66" s="17" t="str">
        <f t="shared" si="27"/>
        <v>01051CCE</v>
      </c>
      <c r="R66" s="17" t="str">
        <f t="shared" si="16"/>
        <v>00001051</v>
      </c>
      <c r="S66" s="17">
        <f t="shared" si="28"/>
        <v>4177</v>
      </c>
      <c r="T66" s="32">
        <f t="shared" si="29"/>
        <v>1.0442499999999999</v>
      </c>
      <c r="U66" s="32">
        <f t="shared" si="30"/>
        <v>-1.3384771949407746</v>
      </c>
    </row>
    <row r="67" spans="1:21">
      <c r="A67">
        <v>5.7</v>
      </c>
      <c r="B67">
        <f t="shared" si="19"/>
        <v>7.9129669615999375E-8</v>
      </c>
      <c r="C67">
        <f t="shared" si="20"/>
        <v>5.6999999999999993</v>
      </c>
      <c r="D67" s="4">
        <f t="shared" si="14"/>
        <v>18677.759999999998</v>
      </c>
      <c r="E67" s="8">
        <f t="shared" si="21"/>
        <v>2.9960234119645945</v>
      </c>
      <c r="G67">
        <f t="shared" si="18"/>
        <v>7.9129669615999375E-8</v>
      </c>
      <c r="H67">
        <f t="shared" si="22"/>
        <v>1251601</v>
      </c>
      <c r="I67">
        <f t="shared" si="23"/>
        <v>18677</v>
      </c>
      <c r="J67" s="8">
        <f t="shared" si="24"/>
        <v>2.9952884791236078</v>
      </c>
      <c r="L67">
        <f t="shared" si="6"/>
        <v>7.9129669615999375E-8</v>
      </c>
      <c r="M67">
        <f t="shared" si="25"/>
        <v>1251601</v>
      </c>
      <c r="N67" s="8">
        <f t="shared" si="31"/>
        <v>1.1304230412474023</v>
      </c>
      <c r="O67" s="8">
        <f t="shared" si="26"/>
        <v>2.9952884791236078</v>
      </c>
      <c r="Q67" s="17" t="str">
        <f t="shared" si="27"/>
        <v>011E77FF</v>
      </c>
      <c r="R67" s="17" t="str">
        <f t="shared" si="16"/>
        <v>000011E7</v>
      </c>
      <c r="S67" s="17">
        <f t="shared" si="28"/>
        <v>4583</v>
      </c>
      <c r="T67" s="32">
        <f t="shared" si="29"/>
        <v>1.14575</v>
      </c>
      <c r="U67" s="32">
        <f t="shared" si="30"/>
        <v>-1.346730540679643</v>
      </c>
    </row>
    <row r="68" spans="1:21">
      <c r="A68">
        <v>5.8</v>
      </c>
      <c r="B68">
        <f t="shared" si="19"/>
        <v>8.6813861215382053E-8</v>
      </c>
      <c r="C68">
        <f t="shared" si="20"/>
        <v>5.8000000000000007</v>
      </c>
      <c r="D68" s="4">
        <f t="shared" si="14"/>
        <v>19005.440000000002</v>
      </c>
      <c r="E68" s="8">
        <f t="shared" si="21"/>
        <v>3.3303022979320267</v>
      </c>
      <c r="G68">
        <f t="shared" si="18"/>
        <v>8.6813861215382053E-8</v>
      </c>
      <c r="H68">
        <f t="shared" si="22"/>
        <v>1373143</v>
      </c>
      <c r="I68">
        <f t="shared" si="23"/>
        <v>19005</v>
      </c>
      <c r="J68" s="8">
        <f t="shared" si="24"/>
        <v>3.329829312654045</v>
      </c>
      <c r="L68">
        <f t="shared" si="6"/>
        <v>8.6813861215382053E-8</v>
      </c>
      <c r="M68">
        <f t="shared" si="25"/>
        <v>1373143</v>
      </c>
      <c r="N68" s="8">
        <f t="shared" si="31"/>
        <v>1.2401975438878539</v>
      </c>
      <c r="O68" s="8">
        <f t="shared" si="26"/>
        <v>3.329829312654045</v>
      </c>
      <c r="Q68" s="17" t="str">
        <f t="shared" si="27"/>
        <v>013A4999</v>
      </c>
      <c r="R68" s="17" t="str">
        <f t="shared" si="16"/>
        <v>000013A4</v>
      </c>
      <c r="S68" s="17">
        <f t="shared" si="28"/>
        <v>5028</v>
      </c>
      <c r="T68" s="32">
        <f t="shared" si="29"/>
        <v>1.2569999999999999</v>
      </c>
      <c r="U68" s="32">
        <f t="shared" si="30"/>
        <v>-1.3457050006533735</v>
      </c>
    </row>
    <row r="69" spans="1:21">
      <c r="A69">
        <v>5.9</v>
      </c>
      <c r="B69">
        <f t="shared" si="19"/>
        <v>9.5244255861265074E-8</v>
      </c>
      <c r="C69">
        <f t="shared" si="20"/>
        <v>5.9000000000000021</v>
      </c>
      <c r="D69" s="4">
        <f t="shared" si="14"/>
        <v>19333.120000000006</v>
      </c>
      <c r="E69" s="8">
        <f t="shared" si="21"/>
        <v>3.7018780798974591</v>
      </c>
      <c r="G69">
        <f t="shared" si="18"/>
        <v>9.5244255861265074E-8</v>
      </c>
      <c r="H69">
        <f t="shared" si="22"/>
        <v>1506487</v>
      </c>
      <c r="I69">
        <f t="shared" si="23"/>
        <v>19333</v>
      </c>
      <c r="J69" s="8">
        <f t="shared" si="24"/>
        <v>3.7017346838840353</v>
      </c>
      <c r="L69">
        <f t="shared" si="6"/>
        <v>9.5244255861265074E-8</v>
      </c>
      <c r="M69">
        <f t="shared" si="25"/>
        <v>1506487</v>
      </c>
      <c r="N69" s="8">
        <f t="shared" si="31"/>
        <v>1.3606313962194623</v>
      </c>
      <c r="O69" s="8">
        <f t="shared" si="26"/>
        <v>3.7017346838840353</v>
      </c>
      <c r="Q69" s="17" t="str">
        <f t="shared" si="27"/>
        <v>0158CEB9</v>
      </c>
      <c r="R69" s="17" t="str">
        <f t="shared" si="16"/>
        <v>0000158C</v>
      </c>
      <c r="S69" s="17">
        <f t="shared" si="28"/>
        <v>5516</v>
      </c>
      <c r="T69" s="32">
        <f t="shared" si="29"/>
        <v>1.379</v>
      </c>
      <c r="U69" s="32">
        <f t="shared" si="30"/>
        <v>-1.3409543930534138</v>
      </c>
    </row>
    <row r="70" spans="1:21">
      <c r="A70">
        <v>6</v>
      </c>
      <c r="B70">
        <f t="shared" si="19"/>
        <v>1.0449331647696337E-7</v>
      </c>
      <c r="C70">
        <f t="shared" si="20"/>
        <v>6</v>
      </c>
      <c r="D70" s="4">
        <f t="shared" si="14"/>
        <v>19660.800000000003</v>
      </c>
      <c r="E70" s="8">
        <f t="shared" si="21"/>
        <v>4.1149121288282995</v>
      </c>
      <c r="G70">
        <f t="shared" si="18"/>
        <v>1.0449331647696337E-7</v>
      </c>
      <c r="H70">
        <f t="shared" si="22"/>
        <v>1652781</v>
      </c>
      <c r="I70">
        <f t="shared" si="23"/>
        <v>19660</v>
      </c>
      <c r="J70" s="8">
        <f t="shared" si="24"/>
        <v>4.1138496100644195</v>
      </c>
      <c r="L70">
        <f t="shared" si="6"/>
        <v>1.0449331647696337E-7</v>
      </c>
      <c r="M70">
        <f t="shared" si="25"/>
        <v>1652781</v>
      </c>
      <c r="N70" s="8">
        <f t="shared" si="31"/>
        <v>1.4927614507626015</v>
      </c>
      <c r="O70" s="8">
        <f t="shared" si="26"/>
        <v>4.1138496100644195</v>
      </c>
      <c r="Q70" s="17" t="str">
        <f t="shared" si="27"/>
        <v>017A4AA3</v>
      </c>
      <c r="R70" s="17" t="str">
        <f t="shared" si="16"/>
        <v>000017A4</v>
      </c>
      <c r="S70" s="17">
        <f t="shared" si="28"/>
        <v>6052</v>
      </c>
      <c r="T70" s="32">
        <f t="shared" si="29"/>
        <v>1.5129999999999999</v>
      </c>
      <c r="U70" s="32">
        <f t="shared" si="30"/>
        <v>-1.3466503958431992</v>
      </c>
    </row>
    <row r="71" spans="1:21">
      <c r="A71">
        <v>6.1</v>
      </c>
      <c r="B71">
        <f t="shared" si="19"/>
        <v>1.1464054277729349E-7</v>
      </c>
      <c r="C71">
        <f t="shared" si="20"/>
        <v>6.0999999999999979</v>
      </c>
      <c r="D71" s="4">
        <f t="shared" si="14"/>
        <v>19988.479999999996</v>
      </c>
      <c r="E71" s="8">
        <f t="shared" si="21"/>
        <v>4.5740301172877267</v>
      </c>
      <c r="G71">
        <f t="shared" si="18"/>
        <v>1.1464054277729349E-7</v>
      </c>
      <c r="H71">
        <f t="shared" si="22"/>
        <v>1813280</v>
      </c>
      <c r="I71">
        <f t="shared" si="23"/>
        <v>19988</v>
      </c>
      <c r="J71" s="8">
        <f t="shared" si="24"/>
        <v>4.5733214396267199</v>
      </c>
      <c r="L71">
        <f t="shared" si="6"/>
        <v>1.1464054277729349E-7</v>
      </c>
      <c r="M71">
        <f t="shared" si="25"/>
        <v>1813280</v>
      </c>
      <c r="N71" s="8">
        <f t="shared" si="31"/>
        <v>1.637721200472906</v>
      </c>
      <c r="O71" s="8">
        <f t="shared" si="26"/>
        <v>4.5733214396267199</v>
      </c>
      <c r="Q71" s="17" t="str">
        <f t="shared" si="27"/>
        <v>019F06E0</v>
      </c>
      <c r="R71" s="17" t="str">
        <f t="shared" si="16"/>
        <v>000019F0</v>
      </c>
      <c r="S71" s="17">
        <f t="shared" si="28"/>
        <v>6640</v>
      </c>
      <c r="T71" s="32">
        <f t="shared" si="29"/>
        <v>1.66</v>
      </c>
      <c r="U71" s="32">
        <f t="shared" si="30"/>
        <v>-1.3511633138604331</v>
      </c>
    </row>
    <row r="72" spans="1:21">
      <c r="A72">
        <v>6.2</v>
      </c>
      <c r="B72">
        <f t="shared" si="19"/>
        <v>1.2577315460333627E-7</v>
      </c>
      <c r="C72">
        <f t="shared" si="20"/>
        <v>6.1999999999999993</v>
      </c>
      <c r="D72" s="4">
        <f t="shared" si="14"/>
        <v>20316.16</v>
      </c>
      <c r="E72" s="8">
        <f t="shared" si="21"/>
        <v>5.0843738235092326</v>
      </c>
      <c r="G72">
        <f t="shared" si="18"/>
        <v>1.2577315460333627E-7</v>
      </c>
      <c r="H72">
        <f t="shared" si="22"/>
        <v>1989366</v>
      </c>
      <c r="I72">
        <f t="shared" si="23"/>
        <v>20316</v>
      </c>
      <c r="J72" s="8">
        <f t="shared" si="24"/>
        <v>5.0841112273479361</v>
      </c>
      <c r="L72">
        <f t="shared" si="6"/>
        <v>1.2577315460333627E-7</v>
      </c>
      <c r="M72">
        <f t="shared" si="25"/>
        <v>1989366</v>
      </c>
      <c r="N72" s="8">
        <f t="shared" si="31"/>
        <v>1.7967588423740311</v>
      </c>
      <c r="O72" s="8">
        <f t="shared" si="26"/>
        <v>5.0841112273479361</v>
      </c>
      <c r="Q72" s="17" t="str">
        <f t="shared" si="27"/>
        <v>01C7546A</v>
      </c>
      <c r="R72" s="17" t="str">
        <f t="shared" si="16"/>
        <v>00001C75</v>
      </c>
      <c r="S72" s="17">
        <f t="shared" si="28"/>
        <v>7285</v>
      </c>
      <c r="T72" s="32">
        <f t="shared" si="29"/>
        <v>1.82125</v>
      </c>
      <c r="U72" s="32">
        <f t="shared" si="30"/>
        <v>-1.3538473062381244</v>
      </c>
    </row>
    <row r="73" spans="1:21">
      <c r="A73">
        <v>6.3</v>
      </c>
      <c r="B73">
        <f t="shared" si="19"/>
        <v>1.3798684161505866E-7</v>
      </c>
      <c r="C73">
        <f t="shared" si="20"/>
        <v>6.3000000000000007</v>
      </c>
      <c r="D73" s="4">
        <f t="shared" si="14"/>
        <v>20643.840000000004</v>
      </c>
      <c r="E73" s="8">
        <f t="shared" si="21"/>
        <v>5.6516587154687894</v>
      </c>
      <c r="G73">
        <f t="shared" si="18"/>
        <v>1.3798684161505866E-7</v>
      </c>
      <c r="H73">
        <f t="shared" si="22"/>
        <v>2182551</v>
      </c>
      <c r="I73">
        <f t="shared" si="23"/>
        <v>20643</v>
      </c>
      <c r="J73" s="8">
        <f t="shared" si="24"/>
        <v>5.6501264342921953</v>
      </c>
      <c r="L73">
        <f t="shared" si="6"/>
        <v>1.3798684161505866E-7</v>
      </c>
      <c r="M73">
        <f t="shared" si="25"/>
        <v>2182551</v>
      </c>
      <c r="N73" s="8">
        <f t="shared" si="31"/>
        <v>1.9712399871025663</v>
      </c>
      <c r="O73" s="8">
        <f t="shared" si="26"/>
        <v>5.6501264342921953</v>
      </c>
      <c r="Q73" s="17" t="str">
        <f t="shared" si="27"/>
        <v>01F38BD9</v>
      </c>
      <c r="R73" s="17" t="str">
        <f t="shared" si="16"/>
        <v>00001F38</v>
      </c>
      <c r="S73" s="17">
        <f t="shared" si="28"/>
        <v>7992</v>
      </c>
      <c r="T73" s="32">
        <f t="shared" si="29"/>
        <v>1.998</v>
      </c>
      <c r="U73" s="32">
        <f t="shared" si="30"/>
        <v>-1.3483696115319921</v>
      </c>
    </row>
    <row r="74" spans="1:21">
      <c r="A74">
        <v>6.4</v>
      </c>
      <c r="B74">
        <f t="shared" ref="B74:B105" si="32">EXP((A74/_c1)-(_c2/_c1))</f>
        <v>1.5138658578572527E-7</v>
      </c>
      <c r="C74">
        <f t="shared" ref="C74:C105" si="33">_c1*LN(B74)+_c2</f>
        <v>6.3999999999999986</v>
      </c>
      <c r="D74" s="4">
        <f t="shared" si="14"/>
        <v>20971.519999999997</v>
      </c>
      <c r="E74" s="8">
        <f t="shared" ref="E74:E110" si="34">d1_*EXP(d2_*C74)</f>
        <v>6.2822379598533056</v>
      </c>
      <c r="G74">
        <f t="shared" si="18"/>
        <v>1.5138658578572527E-7</v>
      </c>
      <c r="H74">
        <f t="shared" ref="H74:H105" si="35">INT((G1_)*G74)</f>
        <v>2394496</v>
      </c>
      <c r="I74">
        <f t="shared" ref="I74:I105" si="36">INT(m*LN(H74)+b)</f>
        <v>20971</v>
      </c>
      <c r="J74" s="8">
        <f t="shared" ref="J74:J105" si="37">d1_*EXP(d2_*I74/3276.8)</f>
        <v>6.2811835161241047</v>
      </c>
      <c r="L74">
        <f t="shared" si="6"/>
        <v>1.5138658578572527E-7</v>
      </c>
      <c r="M74">
        <f t="shared" ref="M74:M105" si="38">INT((G1_)*L74)</f>
        <v>2394496</v>
      </c>
      <c r="N74" s="8">
        <f t="shared" si="31"/>
        <v>2.1626648193591564</v>
      </c>
      <c r="O74" s="8">
        <f t="shared" ref="O74:O110" si="39">d1_*EXP(d2_*I74/3276.8)</f>
        <v>6.2811835161241047</v>
      </c>
      <c r="Q74" s="17" t="str">
        <f t="shared" ref="Q74:Q110" si="40">DEC2HEX(M74*N,8)</f>
        <v>02240E80</v>
      </c>
      <c r="R74" s="17" t="str">
        <f t="shared" si="16"/>
        <v>00002240</v>
      </c>
      <c r="S74" s="17">
        <f t="shared" ref="S74:S110" si="41">INT(INT(M74*N)/D)</f>
        <v>8768</v>
      </c>
      <c r="T74" s="32">
        <f t="shared" ref="T74:T110" si="42">INT(INT(M74*N)/D)/4000</f>
        <v>2.1920000000000002</v>
      </c>
      <c r="U74" s="32">
        <f t="shared" ref="U74:U105" si="43">200*(N74-T74)/(N74+T74)</f>
        <v>-1.3472991312870215</v>
      </c>
    </row>
    <row r="75" spans="1:21">
      <c r="A75">
        <v>6.5</v>
      </c>
      <c r="B75">
        <f t="shared" si="32"/>
        <v>1.6608756376780276E-7</v>
      </c>
      <c r="C75">
        <f t="shared" si="33"/>
        <v>6.5</v>
      </c>
      <c r="D75" s="4">
        <f t="shared" ref="D75:D110" si="44">C75*3276.8</f>
        <v>21299.200000000001</v>
      </c>
      <c r="E75" s="8">
        <f t="shared" si="34"/>
        <v>6.9831735727779733</v>
      </c>
      <c r="G75">
        <f t="shared" si="18"/>
        <v>1.6608756376780276E-7</v>
      </c>
      <c r="H75">
        <f t="shared" si="35"/>
        <v>2627023</v>
      </c>
      <c r="I75">
        <f t="shared" si="36"/>
        <v>21299</v>
      </c>
      <c r="J75" s="8">
        <f t="shared" si="37"/>
        <v>6.9827227447117313</v>
      </c>
      <c r="L75">
        <f t="shared" ref="L75:L76" si="45">G75</f>
        <v>1.6608756376780276E-7</v>
      </c>
      <c r="M75">
        <f t="shared" si="38"/>
        <v>2627023</v>
      </c>
      <c r="N75" s="8">
        <f t="shared" si="31"/>
        <v>2.3726789360881577</v>
      </c>
      <c r="O75" s="8">
        <f t="shared" si="39"/>
        <v>6.9827227447117313</v>
      </c>
      <c r="Q75" s="17" t="str">
        <f t="shared" si="40"/>
        <v>02594721</v>
      </c>
      <c r="R75" s="17" t="str">
        <f t="shared" ref="R75:R110" si="46">DEC2HEX(INT(INT(M75*N)/D),8)</f>
        <v>00002594</v>
      </c>
      <c r="S75" s="17">
        <f t="shared" si="41"/>
        <v>9620</v>
      </c>
      <c r="T75" s="32">
        <f t="shared" si="42"/>
        <v>2.4049999999999998</v>
      </c>
      <c r="U75" s="32">
        <f t="shared" si="43"/>
        <v>-1.3530027590470846</v>
      </c>
    </row>
    <row r="76" spans="1:21">
      <c r="A76">
        <v>6.6</v>
      </c>
      <c r="B76">
        <f t="shared" si="32"/>
        <v>1.8221613688658162E-7</v>
      </c>
      <c r="C76">
        <f t="shared" si="33"/>
        <v>6.5999999999999979</v>
      </c>
      <c r="D76" s="4">
        <f t="shared" si="44"/>
        <v>21626.879999999994</v>
      </c>
      <c r="E76" s="8">
        <f t="shared" si="34"/>
        <v>7.7623155090870206</v>
      </c>
      <c r="G76">
        <f t="shared" si="18"/>
        <v>1.8221613688658162E-7</v>
      </c>
      <c r="H76">
        <f t="shared" si="35"/>
        <v>2882130</v>
      </c>
      <c r="I76">
        <f t="shared" si="36"/>
        <v>21626</v>
      </c>
      <c r="J76" s="8">
        <f t="shared" si="37"/>
        <v>7.7601107841634382</v>
      </c>
      <c r="L76">
        <f t="shared" si="45"/>
        <v>1.8221613688658162E-7</v>
      </c>
      <c r="M76">
        <f t="shared" si="38"/>
        <v>2882130</v>
      </c>
      <c r="N76" s="8">
        <f t="shared" ref="N76:N107" si="47">M76*H1_</f>
        <v>2.6030868942022063</v>
      </c>
      <c r="O76" s="8">
        <f t="shared" si="39"/>
        <v>7.7601107841634382</v>
      </c>
      <c r="Q76" s="17" t="str">
        <f t="shared" si="40"/>
        <v>0293AACE</v>
      </c>
      <c r="R76" s="17" t="str">
        <f t="shared" si="46"/>
        <v>0000293A</v>
      </c>
      <c r="S76" s="17">
        <f t="shared" si="41"/>
        <v>10554</v>
      </c>
      <c r="T76" s="32">
        <f t="shared" si="42"/>
        <v>2.6385000000000001</v>
      </c>
      <c r="U76" s="32">
        <f t="shared" si="43"/>
        <v>-1.3512360478833123</v>
      </c>
    </row>
    <row r="77" spans="1:21">
      <c r="A77">
        <v>6.7</v>
      </c>
      <c r="B77">
        <f t="shared" si="32"/>
        <v>1.9991093727094594E-7</v>
      </c>
      <c r="C77">
        <f t="shared" si="33"/>
        <v>6.6999999999999993</v>
      </c>
      <c r="D77" s="4">
        <f t="shared" si="44"/>
        <v>21954.559999999998</v>
      </c>
      <c r="E77" s="8">
        <f t="shared" si="34"/>
        <v>8.6283895759795168</v>
      </c>
      <c r="G77">
        <f t="shared" ref="G77:G110" si="48">B77</f>
        <v>1.9991093727094594E-7</v>
      </c>
      <c r="H77">
        <f t="shared" si="35"/>
        <v>3162011</v>
      </c>
      <c r="I77">
        <f t="shared" si="36"/>
        <v>21954</v>
      </c>
      <c r="J77" s="8">
        <f t="shared" si="37"/>
        <v>8.6268299493178269</v>
      </c>
      <c r="L77">
        <f t="shared" ref="L77:L110" si="49">G77</f>
        <v>1.9991093727094594E-7</v>
      </c>
      <c r="M77">
        <f t="shared" si="38"/>
        <v>3162011</v>
      </c>
      <c r="N77" s="8">
        <f t="shared" si="47"/>
        <v>2.8558702742149773</v>
      </c>
      <c r="O77" s="8">
        <f t="shared" si="39"/>
        <v>8.6268299493178269</v>
      </c>
      <c r="Q77" s="17" t="str">
        <f t="shared" si="40"/>
        <v>02D3BA15</v>
      </c>
      <c r="R77" s="17" t="str">
        <f t="shared" si="46"/>
        <v>00002D3B</v>
      </c>
      <c r="S77" s="17">
        <f t="shared" si="41"/>
        <v>11579</v>
      </c>
      <c r="T77" s="32">
        <f t="shared" si="42"/>
        <v>2.8947500000000002</v>
      </c>
      <c r="U77" s="32">
        <f t="shared" si="43"/>
        <v>-1.3521924220715604</v>
      </c>
    </row>
    <row r="78" spans="1:21">
      <c r="A78">
        <v>6.8</v>
      </c>
      <c r="B78">
        <f t="shared" si="32"/>
        <v>2.193240594570586E-7</v>
      </c>
      <c r="C78">
        <f t="shared" si="33"/>
        <v>6.8000000000000007</v>
      </c>
      <c r="D78" s="4">
        <f t="shared" si="44"/>
        <v>22282.240000000005</v>
      </c>
      <c r="E78" s="8">
        <f t="shared" si="34"/>
        <v>9.5910951555264088</v>
      </c>
      <c r="G78">
        <f t="shared" si="48"/>
        <v>2.193240594570586E-7</v>
      </c>
      <c r="H78">
        <f t="shared" si="35"/>
        <v>3469070</v>
      </c>
      <c r="I78">
        <f t="shared" si="36"/>
        <v>22282</v>
      </c>
      <c r="J78" s="8">
        <f t="shared" si="37"/>
        <v>9.5903521282615305</v>
      </c>
      <c r="L78">
        <f t="shared" si="49"/>
        <v>2.193240594570586E-7</v>
      </c>
      <c r="M78">
        <f t="shared" si="38"/>
        <v>3469070</v>
      </c>
      <c r="N78" s="8">
        <f t="shared" si="47"/>
        <v>3.1332003247841174</v>
      </c>
      <c r="O78" s="8">
        <f t="shared" si="39"/>
        <v>9.5903521282615305</v>
      </c>
      <c r="Q78" s="17" t="str">
        <f t="shared" si="40"/>
        <v>031A01D2</v>
      </c>
      <c r="R78" s="17" t="str">
        <f t="shared" si="46"/>
        <v>000031A0</v>
      </c>
      <c r="S78" s="17">
        <f t="shared" si="41"/>
        <v>12704</v>
      </c>
      <c r="T78" s="32">
        <f t="shared" si="42"/>
        <v>3.1760000000000002</v>
      </c>
      <c r="U78" s="32">
        <f t="shared" si="43"/>
        <v>-1.3567385092451403</v>
      </c>
    </row>
    <row r="79" spans="1:21" s="24" customFormat="1">
      <c r="A79" s="24">
        <v>6.9</v>
      </c>
      <c r="B79" s="24">
        <f t="shared" si="32"/>
        <v>2.4062236770731375E-7</v>
      </c>
      <c r="C79" s="24">
        <f t="shared" si="33"/>
        <v>6.8999999999999986</v>
      </c>
      <c r="D79" s="25">
        <f t="shared" si="44"/>
        <v>22609.919999999998</v>
      </c>
      <c r="E79" s="26">
        <f t="shared" si="34"/>
        <v>10.661213830498484</v>
      </c>
      <c r="G79" s="24">
        <f t="shared" si="48"/>
        <v>2.4062236770731375E-7</v>
      </c>
      <c r="H79" s="24">
        <f t="shared" si="35"/>
        <v>3805948</v>
      </c>
      <c r="I79" s="24">
        <f t="shared" si="36"/>
        <v>22609</v>
      </c>
      <c r="J79" s="26">
        <f t="shared" si="37"/>
        <v>10.658048113224828</v>
      </c>
      <c r="L79" s="24">
        <f t="shared" si="49"/>
        <v>2.4062236770731375E-7</v>
      </c>
      <c r="M79" s="24">
        <f t="shared" si="38"/>
        <v>3805948</v>
      </c>
      <c r="N79" s="26">
        <f t="shared" si="47"/>
        <v>3.4374623486154681</v>
      </c>
      <c r="O79" s="26">
        <f t="shared" si="39"/>
        <v>10.658048113224828</v>
      </c>
      <c r="Q79" s="27" t="str">
        <f t="shared" si="40"/>
        <v>03671CC4</v>
      </c>
      <c r="R79" s="17" t="str">
        <f t="shared" si="46"/>
        <v>00003671</v>
      </c>
      <c r="S79" s="17">
        <f t="shared" si="41"/>
        <v>13937</v>
      </c>
      <c r="T79" s="32">
        <f t="shared" si="42"/>
        <v>3.4842499999999998</v>
      </c>
      <c r="U79" s="32">
        <f t="shared" si="43"/>
        <v>-1.351909730657634</v>
      </c>
    </row>
    <row r="80" spans="1:21">
      <c r="A80">
        <v>7</v>
      </c>
      <c r="B80">
        <f t="shared" si="32"/>
        <v>2.6398893028153968E-7</v>
      </c>
      <c r="C80">
        <f t="shared" si="33"/>
        <v>7</v>
      </c>
      <c r="D80" s="4">
        <f t="shared" si="44"/>
        <v>22937.600000000002</v>
      </c>
      <c r="E80" s="8">
        <f t="shared" si="34"/>
        <v>11.850730130033229</v>
      </c>
      <c r="G80">
        <f t="shared" si="48"/>
        <v>2.6398893028153968E-7</v>
      </c>
      <c r="H80">
        <f t="shared" si="35"/>
        <v>4175539</v>
      </c>
      <c r="I80">
        <f t="shared" si="36"/>
        <v>22937</v>
      </c>
      <c r="J80" s="8">
        <f t="shared" si="37"/>
        <v>11.848435057406238</v>
      </c>
      <c r="L80">
        <f t="shared" si="49"/>
        <v>2.6398893028153968E-7</v>
      </c>
      <c r="M80">
        <f t="shared" si="38"/>
        <v>4175539</v>
      </c>
      <c r="N80" s="8">
        <f t="shared" si="47"/>
        <v>3.7712701533692741</v>
      </c>
      <c r="O80" s="8">
        <f t="shared" si="39"/>
        <v>11.848435057406238</v>
      </c>
      <c r="Q80" s="17" t="str">
        <f t="shared" si="40"/>
        <v>03BBB47D</v>
      </c>
      <c r="R80" s="17" t="str">
        <f t="shared" si="46"/>
        <v>00003BBB</v>
      </c>
      <c r="S80" s="17">
        <f t="shared" si="41"/>
        <v>15291</v>
      </c>
      <c r="T80" s="32">
        <f t="shared" si="42"/>
        <v>3.8227500000000001</v>
      </c>
      <c r="U80" s="32">
        <f t="shared" si="43"/>
        <v>-1.3557995789064563</v>
      </c>
    </row>
    <row r="81" spans="1:21">
      <c r="A81">
        <v>7.1</v>
      </c>
      <c r="B81">
        <f t="shared" si="32"/>
        <v>2.8962459298863171E-7</v>
      </c>
      <c r="C81">
        <f t="shared" si="33"/>
        <v>7.0999999999999979</v>
      </c>
      <c r="D81" s="4">
        <f t="shared" si="44"/>
        <v>23265.279999999995</v>
      </c>
      <c r="E81" s="8">
        <f t="shared" si="34"/>
        <v>13.172965747401237</v>
      </c>
      <c r="G81">
        <f t="shared" si="48"/>
        <v>2.8962459298863171E-7</v>
      </c>
      <c r="H81">
        <f t="shared" si="35"/>
        <v>4581021</v>
      </c>
      <c r="I81">
        <f t="shared" si="36"/>
        <v>23265</v>
      </c>
      <c r="J81" s="8">
        <f t="shared" si="37"/>
        <v>13.171775152279416</v>
      </c>
      <c r="L81">
        <f t="shared" si="49"/>
        <v>2.8962459298863171E-7</v>
      </c>
      <c r="M81">
        <f t="shared" si="38"/>
        <v>4581021</v>
      </c>
      <c r="N81" s="8">
        <f t="shared" si="47"/>
        <v>4.1374940502909601</v>
      </c>
      <c r="O81" s="8">
        <f t="shared" si="39"/>
        <v>13.171775152279416</v>
      </c>
      <c r="Q81" s="17" t="str">
        <f t="shared" si="40"/>
        <v>04188333</v>
      </c>
      <c r="R81" s="17" t="str">
        <f t="shared" si="46"/>
        <v>00004188</v>
      </c>
      <c r="S81" s="17">
        <f t="shared" si="41"/>
        <v>16776</v>
      </c>
      <c r="T81" s="32">
        <f t="shared" si="42"/>
        <v>4.194</v>
      </c>
      <c r="U81" s="32">
        <f t="shared" si="43"/>
        <v>-1.3564421787486372</v>
      </c>
    </row>
    <row r="82" spans="1:21">
      <c r="A82">
        <v>7.2</v>
      </c>
      <c r="B82">
        <f t="shared" si="32"/>
        <v>3.1774970554398408E-7</v>
      </c>
      <c r="C82">
        <f t="shared" si="33"/>
        <v>7.1999999999999993</v>
      </c>
      <c r="D82" s="4">
        <f t="shared" si="44"/>
        <v>23592.959999999999</v>
      </c>
      <c r="E82" s="8">
        <f t="shared" si="34"/>
        <v>14.642728733011854</v>
      </c>
      <c r="G82">
        <f t="shared" si="48"/>
        <v>3.1774970554398408E-7</v>
      </c>
      <c r="H82">
        <f t="shared" si="35"/>
        <v>5025878</v>
      </c>
      <c r="I82">
        <f t="shared" si="36"/>
        <v>23593</v>
      </c>
      <c r="J82" s="8">
        <f t="shared" si="37"/>
        <v>14.642917804892413</v>
      </c>
      <c r="L82">
        <f t="shared" si="49"/>
        <v>3.1774970554398408E-7</v>
      </c>
      <c r="M82">
        <f t="shared" si="38"/>
        <v>5025878</v>
      </c>
      <c r="N82" s="8">
        <f t="shared" si="47"/>
        <v>4.5392807242071651</v>
      </c>
      <c r="O82" s="8">
        <f t="shared" si="39"/>
        <v>14.642917804892413</v>
      </c>
      <c r="Q82" s="17" t="str">
        <f t="shared" si="40"/>
        <v>047E550A</v>
      </c>
      <c r="R82" s="17" t="str">
        <f t="shared" si="46"/>
        <v>000047E5</v>
      </c>
      <c r="S82" s="17">
        <f t="shared" si="41"/>
        <v>18405</v>
      </c>
      <c r="T82" s="32">
        <f t="shared" si="42"/>
        <v>4.6012500000000003</v>
      </c>
      <c r="U82" s="32">
        <f t="shared" si="43"/>
        <v>-1.3559229253224854</v>
      </c>
    </row>
    <row r="83" spans="1:21" s="24" customFormat="1">
      <c r="A83" s="24">
        <v>7.35</v>
      </c>
      <c r="B83" s="24">
        <f t="shared" si="32"/>
        <v>3.651402740705546E-7</v>
      </c>
      <c r="C83" s="24">
        <f t="shared" si="33"/>
        <v>7.3499999999999979</v>
      </c>
      <c r="D83" s="25">
        <f t="shared" si="44"/>
        <v>24084.479999999996</v>
      </c>
      <c r="E83" s="26">
        <f t="shared" si="34"/>
        <v>17.160490542291338</v>
      </c>
      <c r="G83" s="24">
        <f t="shared" si="48"/>
        <v>3.651402740705546E-7</v>
      </c>
      <c r="H83" s="24">
        <f t="shared" si="35"/>
        <v>5775460</v>
      </c>
      <c r="I83" s="24">
        <f t="shared" si="36"/>
        <v>24084</v>
      </c>
      <c r="J83" s="26">
        <f t="shared" si="37"/>
        <v>17.157831780545695</v>
      </c>
      <c r="L83" s="24">
        <f t="shared" si="49"/>
        <v>3.651402740705546E-7</v>
      </c>
      <c r="M83" s="24">
        <f t="shared" si="38"/>
        <v>5775460</v>
      </c>
      <c r="N83" s="26">
        <f t="shared" si="47"/>
        <v>5.2162894227495196</v>
      </c>
      <c r="O83" s="26">
        <f t="shared" si="39"/>
        <v>17.157831780545695</v>
      </c>
      <c r="Q83" s="27" t="str">
        <f t="shared" si="40"/>
        <v>0529E5DC</v>
      </c>
      <c r="R83" s="27" t="str">
        <f t="shared" si="46"/>
        <v>0000529E</v>
      </c>
      <c r="S83" s="27">
        <f t="shared" si="41"/>
        <v>21150</v>
      </c>
      <c r="T83" s="32">
        <f t="shared" si="42"/>
        <v>5.2874999999999996</v>
      </c>
      <c r="U83" s="32">
        <f t="shared" si="43"/>
        <v>-1.3559026058966759</v>
      </c>
    </row>
    <row r="84" spans="1:21" s="24" customFormat="1">
      <c r="A84" s="24">
        <v>7.4</v>
      </c>
      <c r="B84" s="24">
        <f t="shared" si="32"/>
        <v>3.8245874653005887E-7</v>
      </c>
      <c r="C84" s="24">
        <f t="shared" si="33"/>
        <v>7.4</v>
      </c>
      <c r="D84" s="25">
        <f t="shared" si="44"/>
        <v>24248.320000000003</v>
      </c>
      <c r="E84" s="26">
        <f t="shared" si="34"/>
        <v>18.092514334217679</v>
      </c>
      <c r="G84" s="24">
        <f t="shared" si="48"/>
        <v>3.8245874653005887E-7</v>
      </c>
      <c r="H84" s="24">
        <f t="shared" si="35"/>
        <v>6049388</v>
      </c>
      <c r="I84" s="24">
        <f t="shared" si="36"/>
        <v>24248</v>
      </c>
      <c r="J84" s="26">
        <f t="shared" si="37"/>
        <v>18.090645509348516</v>
      </c>
      <c r="L84" s="24">
        <f t="shared" si="49"/>
        <v>3.8245874653005887E-7</v>
      </c>
      <c r="M84" s="24">
        <f t="shared" si="38"/>
        <v>6049388</v>
      </c>
      <c r="N84" s="26">
        <f t="shared" si="47"/>
        <v>5.463696162471539</v>
      </c>
      <c r="O84" s="26">
        <f t="shared" si="39"/>
        <v>18.090645509348516</v>
      </c>
      <c r="Q84" s="27" t="str">
        <f t="shared" si="40"/>
        <v>05689854</v>
      </c>
      <c r="R84" s="27" t="str">
        <f t="shared" si="46"/>
        <v>00005689</v>
      </c>
      <c r="S84" s="27">
        <f t="shared" si="41"/>
        <v>22153</v>
      </c>
      <c r="T84" s="32">
        <f t="shared" si="42"/>
        <v>5.5382499999999997</v>
      </c>
      <c r="U84" s="32">
        <f t="shared" si="43"/>
        <v>-1.3552845365262629</v>
      </c>
    </row>
    <row r="85" spans="1:21" s="24" customFormat="1">
      <c r="A85" s="24">
        <v>7.5</v>
      </c>
      <c r="B85" s="24">
        <f t="shared" si="32"/>
        <v>4.1959887742481024E-7</v>
      </c>
      <c r="C85" s="24">
        <f t="shared" si="33"/>
        <v>7.4999999999999982</v>
      </c>
      <c r="D85" s="25">
        <f t="shared" si="44"/>
        <v>24575.999999999996</v>
      </c>
      <c r="E85" s="26">
        <f t="shared" si="34"/>
        <v>20.111171969481607</v>
      </c>
      <c r="G85" s="24">
        <f t="shared" si="48"/>
        <v>4.1959887742481024E-7</v>
      </c>
      <c r="H85" s="24">
        <f t="shared" si="35"/>
        <v>6636837</v>
      </c>
      <c r="I85" s="24">
        <f t="shared" si="36"/>
        <v>24576</v>
      </c>
      <c r="J85" s="26">
        <f t="shared" si="37"/>
        <v>20.111171969481642</v>
      </c>
      <c r="L85" s="24">
        <f t="shared" si="49"/>
        <v>4.1959887742481024E-7</v>
      </c>
      <c r="M85" s="24">
        <f t="shared" si="38"/>
        <v>6636837</v>
      </c>
      <c r="N85" s="26">
        <f t="shared" si="47"/>
        <v>5.9942693125071695</v>
      </c>
      <c r="O85" s="26">
        <f t="shared" si="39"/>
        <v>20.111171969481642</v>
      </c>
      <c r="Q85" s="27" t="str">
        <f t="shared" si="40"/>
        <v>05EF0D2B</v>
      </c>
      <c r="R85" s="27" t="str">
        <f t="shared" si="46"/>
        <v>00005EF0</v>
      </c>
      <c r="S85" s="27">
        <f t="shared" si="41"/>
        <v>24304</v>
      </c>
      <c r="T85" s="32">
        <f t="shared" si="42"/>
        <v>6.0759999999999996</v>
      </c>
      <c r="U85" s="32">
        <f t="shared" si="43"/>
        <v>-1.3542479521669171</v>
      </c>
    </row>
    <row r="86" spans="1:21" s="24" customFormat="1">
      <c r="A86" s="24">
        <v>7.6</v>
      </c>
      <c r="B86" s="24">
        <f t="shared" si="32"/>
        <v>4.6034564389893874E-7</v>
      </c>
      <c r="C86" s="24">
        <f t="shared" si="33"/>
        <v>7.5999999999999979</v>
      </c>
      <c r="D86" s="25">
        <f t="shared" si="44"/>
        <v>24903.679999999993</v>
      </c>
      <c r="E86" s="26">
        <f t="shared" si="34"/>
        <v>22.355059695662394</v>
      </c>
      <c r="G86" s="24">
        <f t="shared" si="48"/>
        <v>4.6034564389893874E-7</v>
      </c>
      <c r="H86" s="24">
        <f t="shared" si="35"/>
        <v>7281333</v>
      </c>
      <c r="I86" s="24">
        <f t="shared" si="36"/>
        <v>24903</v>
      </c>
      <c r="J86" s="26">
        <f t="shared" si="37"/>
        <v>22.350153111940941</v>
      </c>
      <c r="L86" s="24">
        <f t="shared" si="49"/>
        <v>4.6034564389893874E-7</v>
      </c>
      <c r="M86" s="24">
        <f t="shared" si="38"/>
        <v>7281333</v>
      </c>
      <c r="N86" s="26">
        <f t="shared" si="47"/>
        <v>6.5763662654432773</v>
      </c>
      <c r="O86" s="26">
        <f t="shared" si="39"/>
        <v>22.350153111940941</v>
      </c>
      <c r="Q86" s="27" t="str">
        <f t="shared" si="40"/>
        <v>0682909B</v>
      </c>
      <c r="R86" s="27" t="str">
        <f t="shared" si="46"/>
        <v>00006829</v>
      </c>
      <c r="S86" s="27">
        <f t="shared" si="41"/>
        <v>26665</v>
      </c>
      <c r="T86" s="32">
        <f t="shared" si="42"/>
        <v>6.6662499999999998</v>
      </c>
      <c r="U86" s="32">
        <f t="shared" si="43"/>
        <v>-1.3574920960486467</v>
      </c>
    </row>
    <row r="87" spans="1:21" s="80" customFormat="1">
      <c r="A87" s="80">
        <v>7.7</v>
      </c>
      <c r="B87" s="80">
        <f t="shared" si="32"/>
        <v>5.0504928220334209E-7</v>
      </c>
      <c r="C87" s="80">
        <f t="shared" si="33"/>
        <v>7.6999999999999975</v>
      </c>
      <c r="D87" s="81">
        <f t="shared" si="44"/>
        <v>25231.359999999993</v>
      </c>
      <c r="E87" s="82">
        <f t="shared" si="34"/>
        <v>24.849307377759452</v>
      </c>
      <c r="G87" s="80">
        <f t="shared" si="48"/>
        <v>5.0504928220334209E-7</v>
      </c>
      <c r="H87" s="80">
        <f t="shared" si="35"/>
        <v>7988415</v>
      </c>
      <c r="I87" s="80">
        <f t="shared" si="36"/>
        <v>25231</v>
      </c>
      <c r="J87" s="82">
        <f t="shared" si="37"/>
        <v>24.846419800012796</v>
      </c>
      <c r="L87" s="80">
        <f t="shared" si="49"/>
        <v>5.0504928220334209E-7</v>
      </c>
      <c r="M87" s="80">
        <f t="shared" si="38"/>
        <v>7988415</v>
      </c>
      <c r="N87" s="82">
        <f t="shared" si="47"/>
        <v>7.2149897443725015</v>
      </c>
      <c r="O87" s="82">
        <f t="shared" si="39"/>
        <v>24.846419800012796</v>
      </c>
      <c r="Q87" s="83" t="str">
        <f t="shared" si="40"/>
        <v>07246731</v>
      </c>
      <c r="R87" s="83" t="str">
        <f t="shared" si="46"/>
        <v>00007246</v>
      </c>
      <c r="S87" s="83">
        <f t="shared" si="41"/>
        <v>29254</v>
      </c>
      <c r="T87" s="82">
        <f t="shared" si="42"/>
        <v>7.3135000000000003</v>
      </c>
      <c r="U87" s="82">
        <f t="shared" si="43"/>
        <v>-1.3560976723772133</v>
      </c>
    </row>
    <row r="88" spans="1:21" s="24" customFormat="1">
      <c r="A88" s="24">
        <v>7.8</v>
      </c>
      <c r="B88" s="24">
        <f t="shared" si="32"/>
        <v>5.5409403963016307E-7</v>
      </c>
      <c r="C88" s="24">
        <f t="shared" si="33"/>
        <v>7.8000000000000007</v>
      </c>
      <c r="D88" s="25">
        <f t="shared" si="44"/>
        <v>25559.040000000005</v>
      </c>
      <c r="E88" s="26">
        <f t="shared" si="34"/>
        <v>27.621848725109256</v>
      </c>
      <c r="G88" s="24">
        <f t="shared" si="48"/>
        <v>5.5409403963016307E-7</v>
      </c>
      <c r="H88" s="24">
        <f t="shared" si="35"/>
        <v>8764160</v>
      </c>
      <c r="I88" s="24">
        <f t="shared" si="36"/>
        <v>25559</v>
      </c>
      <c r="J88" s="26">
        <f t="shared" si="37"/>
        <v>27.621492067033774</v>
      </c>
      <c r="L88" s="24">
        <f t="shared" si="49"/>
        <v>5.5409403963016307E-7</v>
      </c>
      <c r="M88" s="24">
        <f t="shared" si="38"/>
        <v>8764160</v>
      </c>
      <c r="N88" s="26">
        <f t="shared" si="47"/>
        <v>7.9156283841087003</v>
      </c>
      <c r="O88" s="26">
        <f t="shared" si="39"/>
        <v>27.621492067033774</v>
      </c>
      <c r="Q88" s="27" t="str">
        <f t="shared" si="40"/>
        <v>07D5F500</v>
      </c>
      <c r="R88" s="27" t="str">
        <f t="shared" si="46"/>
        <v>00007D5F</v>
      </c>
      <c r="S88" s="27">
        <f t="shared" si="41"/>
        <v>32095</v>
      </c>
      <c r="T88" s="32">
        <f t="shared" si="42"/>
        <v>8.0237499999999997</v>
      </c>
      <c r="U88" s="32">
        <f t="shared" si="43"/>
        <v>-1.356660382679602</v>
      </c>
    </row>
    <row r="89" spans="1:21" s="24" customFormat="1">
      <c r="A89" s="24">
        <v>7.9</v>
      </c>
      <c r="B89" s="24">
        <f t="shared" si="32"/>
        <v>6.0790147728605266E-7</v>
      </c>
      <c r="C89" s="24">
        <f t="shared" si="33"/>
        <v>7.9</v>
      </c>
      <c r="D89" s="25">
        <f t="shared" si="44"/>
        <v>25886.720000000001</v>
      </c>
      <c r="E89" s="26">
        <f t="shared" si="34"/>
        <v>30.703734128045902</v>
      </c>
      <c r="G89" s="24">
        <f t="shared" si="48"/>
        <v>6.0790147728605266E-7</v>
      </c>
      <c r="H89" s="24">
        <f t="shared" si="35"/>
        <v>9615238</v>
      </c>
      <c r="I89" s="24">
        <f t="shared" si="36"/>
        <v>25886</v>
      </c>
      <c r="J89" s="26">
        <f t="shared" si="37"/>
        <v>30.69659877680315</v>
      </c>
      <c r="L89" s="24">
        <f t="shared" si="49"/>
        <v>6.0790147728605266E-7</v>
      </c>
      <c r="M89" s="24">
        <f t="shared" si="38"/>
        <v>9615238</v>
      </c>
      <c r="N89" s="26">
        <f t="shared" si="47"/>
        <v>8.6843064061770399</v>
      </c>
      <c r="O89" s="26">
        <f t="shared" si="39"/>
        <v>30.69659877680315</v>
      </c>
      <c r="Q89" s="27" t="str">
        <f t="shared" si="40"/>
        <v>0898C0DA</v>
      </c>
      <c r="R89" s="27" t="str">
        <f t="shared" si="46"/>
        <v>0000898C</v>
      </c>
      <c r="S89" s="27">
        <f t="shared" si="41"/>
        <v>35212</v>
      </c>
      <c r="T89" s="32">
        <f t="shared" si="42"/>
        <v>8.8030000000000008</v>
      </c>
      <c r="U89" s="32">
        <f t="shared" si="43"/>
        <v>-1.3574828628957383</v>
      </c>
    </row>
    <row r="90" spans="1:21" s="24" customFormat="1">
      <c r="A90" s="24">
        <v>7.9999999999999902</v>
      </c>
      <c r="B90" s="24">
        <f t="shared" si="32"/>
        <v>6.6693409359396611E-7</v>
      </c>
      <c r="C90" s="24">
        <f t="shared" si="33"/>
        <v>7.9999999999999893</v>
      </c>
      <c r="D90" s="25">
        <f t="shared" si="44"/>
        <v>26214.399999999965</v>
      </c>
      <c r="E90" s="26">
        <f t="shared" si="34"/>
        <v>34.129478399060112</v>
      </c>
      <c r="G90" s="24">
        <f t="shared" si="48"/>
        <v>6.6693409359396611E-7</v>
      </c>
      <c r="H90" s="24">
        <f t="shared" si="35"/>
        <v>10548963</v>
      </c>
      <c r="I90" s="24">
        <f t="shared" si="36"/>
        <v>26214</v>
      </c>
      <c r="J90" s="26">
        <f t="shared" si="37"/>
        <v>34.125071797988035</v>
      </c>
      <c r="L90" s="24">
        <f t="shared" si="49"/>
        <v>6.6693409359396611E-7</v>
      </c>
      <c r="M90" s="24">
        <f t="shared" si="38"/>
        <v>10548963</v>
      </c>
      <c r="N90" s="26">
        <f t="shared" si="47"/>
        <v>9.5276296810775332</v>
      </c>
      <c r="O90" s="26">
        <f t="shared" si="39"/>
        <v>34.125071797988035</v>
      </c>
      <c r="Q90" s="27" t="str">
        <f t="shared" si="40"/>
        <v>096E774D</v>
      </c>
      <c r="R90" s="27" t="str">
        <f t="shared" si="46"/>
        <v>000096E7</v>
      </c>
      <c r="S90" s="27">
        <f t="shared" si="41"/>
        <v>38631</v>
      </c>
      <c r="T90" s="32">
        <f t="shared" si="42"/>
        <v>9.6577500000000001</v>
      </c>
      <c r="U90" s="32">
        <f t="shared" si="43"/>
        <v>-1.3564528936667755</v>
      </c>
    </row>
    <row r="91" spans="1:21" s="24" customFormat="1">
      <c r="A91" s="24">
        <v>8.0999999999999908</v>
      </c>
      <c r="B91" s="24">
        <f t="shared" si="32"/>
        <v>7.316992996690886E-7</v>
      </c>
      <c r="C91" s="24">
        <f t="shared" si="33"/>
        <v>8.099999999999989</v>
      </c>
      <c r="D91" s="25">
        <f t="shared" si="44"/>
        <v>26542.079999999965</v>
      </c>
      <c r="E91" s="26">
        <f t="shared" si="34"/>
        <v>37.93744731289641</v>
      </c>
      <c r="G91" s="24">
        <f t="shared" si="48"/>
        <v>7.316992996690886E-7</v>
      </c>
      <c r="H91" s="24">
        <f t="shared" si="35"/>
        <v>11573360</v>
      </c>
      <c r="I91" s="24">
        <f t="shared" si="36"/>
        <v>26542</v>
      </c>
      <c r="J91" s="26">
        <f t="shared" si="37"/>
        <v>37.936467609494422</v>
      </c>
      <c r="L91" s="24">
        <f t="shared" si="49"/>
        <v>7.316992996690886E-7</v>
      </c>
      <c r="M91" s="24">
        <f t="shared" si="38"/>
        <v>11573360</v>
      </c>
      <c r="N91" s="26">
        <f t="shared" si="47"/>
        <v>10.452846241454774</v>
      </c>
      <c r="O91" s="26">
        <f t="shared" si="39"/>
        <v>37.936467609494422</v>
      </c>
      <c r="Q91" s="27" t="str">
        <f t="shared" si="40"/>
        <v>0A58EE90</v>
      </c>
      <c r="R91" s="27" t="str">
        <f t="shared" si="46"/>
        <v>0000A58E</v>
      </c>
      <c r="S91" s="27">
        <f t="shared" si="41"/>
        <v>42382</v>
      </c>
      <c r="T91" s="32">
        <f t="shared" si="42"/>
        <v>10.595499999999999</v>
      </c>
      <c r="U91" s="32">
        <f t="shared" si="43"/>
        <v>-1.3554866202672866</v>
      </c>
    </row>
    <row r="92" spans="1:21" s="24" customFormat="1">
      <c r="A92" s="24">
        <v>8.1999999999999904</v>
      </c>
      <c r="B92" s="24">
        <f t="shared" si="32"/>
        <v>8.0275378073891185E-7</v>
      </c>
      <c r="C92" s="24">
        <f t="shared" si="33"/>
        <v>8.1999999999999904</v>
      </c>
      <c r="D92" s="25">
        <f t="shared" si="44"/>
        <v>26869.759999999969</v>
      </c>
      <c r="E92" s="26">
        <f t="shared" si="34"/>
        <v>42.17028727454656</v>
      </c>
      <c r="G92" s="24">
        <f t="shared" si="48"/>
        <v>8.0275378073891185E-7</v>
      </c>
      <c r="H92" s="24">
        <f t="shared" si="35"/>
        <v>12697236</v>
      </c>
      <c r="I92" s="24">
        <f t="shared" si="36"/>
        <v>26869</v>
      </c>
      <c r="J92" s="26">
        <f t="shared" si="37"/>
        <v>42.159942786280205</v>
      </c>
      <c r="L92" s="24">
        <f t="shared" si="49"/>
        <v>8.0275378073891185E-7</v>
      </c>
      <c r="M92" s="24">
        <f t="shared" si="38"/>
        <v>12697236</v>
      </c>
      <c r="N92" s="26">
        <f t="shared" si="47"/>
        <v>11.467910407994243</v>
      </c>
      <c r="O92" s="26">
        <f t="shared" si="39"/>
        <v>42.159942786280205</v>
      </c>
      <c r="Q92" s="27" t="str">
        <f t="shared" si="40"/>
        <v>0B5A2AAC</v>
      </c>
      <c r="R92" s="27" t="str">
        <f t="shared" si="46"/>
        <v>0000B5A2</v>
      </c>
      <c r="S92" s="27">
        <f t="shared" si="41"/>
        <v>46498</v>
      </c>
      <c r="T92" s="32">
        <f t="shared" si="42"/>
        <v>11.624499999999999</v>
      </c>
      <c r="U92" s="32">
        <f t="shared" si="43"/>
        <v>-1.3561996278357134</v>
      </c>
    </row>
    <row r="93" spans="1:21" s="24" customFormat="1">
      <c r="A93" s="24">
        <v>8.2999999999999901</v>
      </c>
      <c r="B93" s="24">
        <f t="shared" si="32"/>
        <v>8.807082810958699E-7</v>
      </c>
      <c r="C93" s="24">
        <f t="shared" si="33"/>
        <v>8.2999999999999883</v>
      </c>
      <c r="D93" s="25">
        <f t="shared" si="44"/>
        <v>27197.439999999962</v>
      </c>
      <c r="E93" s="26">
        <f t="shared" si="34"/>
        <v>46.875402927103366</v>
      </c>
      <c r="G93" s="24">
        <f t="shared" si="48"/>
        <v>8.807082810958699E-7</v>
      </c>
      <c r="H93" s="24">
        <f t="shared" si="35"/>
        <v>13930250</v>
      </c>
      <c r="I93" s="24">
        <f t="shared" si="36"/>
        <v>27197</v>
      </c>
      <c r="J93" s="26">
        <f t="shared" si="37"/>
        <v>46.868745460753935</v>
      </c>
      <c r="L93" s="24">
        <f t="shared" si="49"/>
        <v>8.807082810958699E-7</v>
      </c>
      <c r="M93" s="24">
        <f t="shared" si="38"/>
        <v>13930250</v>
      </c>
      <c r="N93" s="26">
        <f t="shared" si="47"/>
        <v>12.581546012136956</v>
      </c>
      <c r="O93" s="26">
        <f t="shared" si="39"/>
        <v>46.868745460753935</v>
      </c>
      <c r="Q93" s="27" t="str">
        <f t="shared" si="40"/>
        <v>0C746196</v>
      </c>
      <c r="R93" s="27" t="str">
        <f t="shared" si="46"/>
        <v>0000C746</v>
      </c>
      <c r="S93" s="27">
        <f t="shared" si="41"/>
        <v>51014</v>
      </c>
      <c r="T93" s="32">
        <f t="shared" si="42"/>
        <v>12.753500000000001</v>
      </c>
      <c r="U93" s="32">
        <f t="shared" si="43"/>
        <v>-1.3574397124099875</v>
      </c>
    </row>
    <row r="94" spans="1:21" s="24" customFormat="1">
      <c r="A94" s="24">
        <v>8.3999999999999897</v>
      </c>
      <c r="B94" s="24">
        <f t="shared" si="32"/>
        <v>9.6623285371123834E-7</v>
      </c>
      <c r="C94" s="24">
        <f t="shared" si="33"/>
        <v>8.3999999999999897</v>
      </c>
      <c r="D94" s="25">
        <f t="shared" si="44"/>
        <v>27525.119999999966</v>
      </c>
      <c r="E94" s="26">
        <f t="shared" si="34"/>
        <v>52.105488048324638</v>
      </c>
      <c r="G94" s="24">
        <f t="shared" si="48"/>
        <v>9.6623285371123834E-7</v>
      </c>
      <c r="H94" s="24">
        <f t="shared" si="35"/>
        <v>15283001</v>
      </c>
      <c r="I94" s="24">
        <f t="shared" si="36"/>
        <v>27525</v>
      </c>
      <c r="J94" s="26">
        <f t="shared" si="37"/>
        <v>52.103469689237713</v>
      </c>
      <c r="L94" s="24">
        <f t="shared" si="49"/>
        <v>9.6623285371123834E-7</v>
      </c>
      <c r="M94" s="24">
        <f t="shared" si="38"/>
        <v>15283001</v>
      </c>
      <c r="N94" s="26">
        <f t="shared" si="47"/>
        <v>13.80332587606361</v>
      </c>
      <c r="O94" s="26">
        <f t="shared" si="39"/>
        <v>52.103469689237713</v>
      </c>
      <c r="Q94" s="27" t="str">
        <f t="shared" si="40"/>
        <v>0DAA0057</v>
      </c>
      <c r="R94" s="27" t="str">
        <f t="shared" si="46"/>
        <v>0000DAA0</v>
      </c>
      <c r="S94" s="27">
        <f t="shared" si="41"/>
        <v>55968</v>
      </c>
      <c r="T94" s="32">
        <f t="shared" si="42"/>
        <v>13.992000000000001</v>
      </c>
      <c r="U94" s="32">
        <f t="shared" si="43"/>
        <v>-1.3575960560971185</v>
      </c>
    </row>
    <row r="95" spans="1:21" s="24" customFormat="1">
      <c r="A95" s="20">
        <v>8.4999999999999893</v>
      </c>
      <c r="B95" s="20">
        <f t="shared" si="32"/>
        <v>1.0600626196329948E-6</v>
      </c>
      <c r="C95" s="20">
        <f t="shared" si="33"/>
        <v>8.4999999999999876</v>
      </c>
      <c r="D95" s="21">
        <f t="shared" si="44"/>
        <v>27852.799999999959</v>
      </c>
      <c r="E95" s="22">
        <f t="shared" si="34"/>
        <v>57.919115681548398</v>
      </c>
      <c r="F95" s="20"/>
      <c r="G95" s="20">
        <f t="shared" si="48"/>
        <v>1.0600626196329948E-6</v>
      </c>
      <c r="H95" s="20">
        <f t="shared" si="35"/>
        <v>16767116</v>
      </c>
      <c r="I95" s="20">
        <f t="shared" si="36"/>
        <v>27852</v>
      </c>
      <c r="J95" s="22">
        <f t="shared" si="37"/>
        <v>57.904160283894868</v>
      </c>
      <c r="K95" s="20"/>
      <c r="L95" s="20">
        <f t="shared" si="49"/>
        <v>1.0600626196329948E-6</v>
      </c>
      <c r="M95" s="20">
        <f t="shared" si="38"/>
        <v>16767116</v>
      </c>
      <c r="N95" s="22">
        <f t="shared" si="47"/>
        <v>15.14375129267872</v>
      </c>
      <c r="O95" s="22">
        <f t="shared" si="39"/>
        <v>57.904160283894868</v>
      </c>
      <c r="P95" s="20"/>
      <c r="Q95" s="23" t="str">
        <f t="shared" si="40"/>
        <v>0EFDB034</v>
      </c>
      <c r="R95" s="23" t="str">
        <f t="shared" si="46"/>
        <v>0000EFDB</v>
      </c>
      <c r="S95" s="23">
        <f t="shared" si="41"/>
        <v>61403</v>
      </c>
      <c r="T95" s="22">
        <f t="shared" si="42"/>
        <v>15.35075</v>
      </c>
      <c r="U95" s="22">
        <f t="shared" si="43"/>
        <v>-1.3576133305775797</v>
      </c>
    </row>
    <row r="96" spans="1:21" s="24" customFormat="1">
      <c r="A96" s="28">
        <v>8.5999999999999908</v>
      </c>
      <c r="B96" s="28">
        <f t="shared" si="32"/>
        <v>1.1630040866722616E-6</v>
      </c>
      <c r="C96" s="28">
        <f t="shared" si="33"/>
        <v>8.599999999999989</v>
      </c>
      <c r="D96" s="29">
        <f t="shared" si="44"/>
        <v>28180.479999999967</v>
      </c>
      <c r="E96" s="30">
        <f t="shared" si="34"/>
        <v>64.381394109990566</v>
      </c>
      <c r="F96" s="28"/>
      <c r="G96" s="28">
        <f t="shared" si="48"/>
        <v>1.1630040866722616E-6</v>
      </c>
      <c r="H96" s="28">
        <f t="shared" si="35"/>
        <v>18395351</v>
      </c>
      <c r="I96" s="28">
        <f t="shared" si="36"/>
        <v>28180</v>
      </c>
      <c r="J96" s="30">
        <f t="shared" si="37"/>
        <v>64.371419174404778</v>
      </c>
      <c r="K96" s="28"/>
      <c r="L96" s="28">
        <f t="shared" si="49"/>
        <v>1.1630040866722616E-6</v>
      </c>
      <c r="M96" s="28">
        <f t="shared" si="38"/>
        <v>18395351</v>
      </c>
      <c r="N96" s="30">
        <f t="shared" si="47"/>
        <v>16.614343246956054</v>
      </c>
      <c r="O96" s="30">
        <f t="shared" si="39"/>
        <v>64.371419174404778</v>
      </c>
      <c r="P96" s="28"/>
      <c r="Q96" s="31" t="str">
        <f t="shared" si="40"/>
        <v>10725C99</v>
      </c>
      <c r="R96" s="31" t="str">
        <f t="shared" si="46"/>
        <v>00010725</v>
      </c>
      <c r="S96" s="31">
        <f t="shared" si="41"/>
        <v>67365</v>
      </c>
      <c r="T96" s="30">
        <f t="shared" si="42"/>
        <v>16.841249999999999</v>
      </c>
      <c r="U96" s="30">
        <f t="shared" si="43"/>
        <v>-1.3564652784304763</v>
      </c>
    </row>
    <row r="97" spans="1:21" s="24" customFormat="1">
      <c r="A97" s="28">
        <v>8.6999999999999904</v>
      </c>
      <c r="B97" s="28">
        <f t="shared" si="32"/>
        <v>1.2759420816900949E-6</v>
      </c>
      <c r="C97" s="28">
        <f t="shared" si="33"/>
        <v>8.6999999999999886</v>
      </c>
      <c r="D97" s="29">
        <f t="shared" si="44"/>
        <v>28508.159999999963</v>
      </c>
      <c r="E97" s="30">
        <f t="shared" si="34"/>
        <v>71.564696020840856</v>
      </c>
      <c r="F97" s="28"/>
      <c r="G97" s="28">
        <f t="shared" si="48"/>
        <v>1.2759420816900949E-6</v>
      </c>
      <c r="H97" s="28">
        <f t="shared" si="35"/>
        <v>20181703</v>
      </c>
      <c r="I97" s="28">
        <f t="shared" si="36"/>
        <v>28508</v>
      </c>
      <c r="J97" s="30">
        <f t="shared" si="37"/>
        <v>71.560999869631701</v>
      </c>
      <c r="K97" s="28"/>
      <c r="L97" s="28">
        <f t="shared" si="49"/>
        <v>1.2759420816900949E-6</v>
      </c>
      <c r="M97" s="28">
        <f t="shared" si="38"/>
        <v>20181703</v>
      </c>
      <c r="N97" s="30">
        <f t="shared" si="47"/>
        <v>18.22774357228208</v>
      </c>
      <c r="O97" s="30">
        <f t="shared" si="39"/>
        <v>71.560999869631701</v>
      </c>
      <c r="P97" s="28"/>
      <c r="Q97" s="31" t="str">
        <f t="shared" si="40"/>
        <v>120B39A9</v>
      </c>
      <c r="R97" s="31" t="str">
        <f t="shared" si="46"/>
        <v>000120B3</v>
      </c>
      <c r="S97" s="31">
        <f t="shared" si="41"/>
        <v>73907</v>
      </c>
      <c r="T97" s="30">
        <f t="shared" si="42"/>
        <v>18.476749999999999</v>
      </c>
      <c r="U97" s="30">
        <f t="shared" si="43"/>
        <v>-1.356817127731522</v>
      </c>
    </row>
    <row r="98" spans="1:21" s="24" customFormat="1">
      <c r="A98" s="28">
        <v>8.7999999999999901</v>
      </c>
      <c r="B98" s="28">
        <f t="shared" si="32"/>
        <v>1.3998473560707588E-6</v>
      </c>
      <c r="C98" s="28">
        <f t="shared" si="33"/>
        <v>8.7999999999999883</v>
      </c>
      <c r="D98" s="29">
        <f t="shared" si="44"/>
        <v>28835.839999999964</v>
      </c>
      <c r="E98" s="30">
        <f t="shared" si="34"/>
        <v>79.549469025253686</v>
      </c>
      <c r="F98" s="28"/>
      <c r="G98" s="28">
        <f t="shared" si="48"/>
        <v>1.3998473560707588E-6</v>
      </c>
      <c r="H98" s="28">
        <f t="shared" si="35"/>
        <v>22141525</v>
      </c>
      <c r="I98" s="28">
        <f t="shared" si="36"/>
        <v>28835</v>
      </c>
      <c r="J98" s="30">
        <f t="shared" si="37"/>
        <v>79.527901524432195</v>
      </c>
      <c r="K98" s="28"/>
      <c r="L98" s="28">
        <f t="shared" si="49"/>
        <v>1.3998473560707588E-6</v>
      </c>
      <c r="M98" s="28">
        <f t="shared" si="38"/>
        <v>22141525</v>
      </c>
      <c r="N98" s="30">
        <f t="shared" si="47"/>
        <v>19.997818816344338</v>
      </c>
      <c r="O98" s="30">
        <f t="shared" si="39"/>
        <v>79.527901524432195</v>
      </c>
      <c r="P98" s="28"/>
      <c r="Q98" s="31" t="str">
        <f t="shared" si="40"/>
        <v>13CBCAFB</v>
      </c>
      <c r="R98" s="31" t="str">
        <f t="shared" si="46"/>
        <v>00013CBC</v>
      </c>
      <c r="S98" s="31">
        <f t="shared" si="41"/>
        <v>81084</v>
      </c>
      <c r="T98" s="30">
        <f t="shared" si="42"/>
        <v>20.271000000000001</v>
      </c>
      <c r="U98" s="30">
        <f t="shared" si="43"/>
        <v>-1.3567876669120644</v>
      </c>
    </row>
    <row r="99" spans="1:21" s="24" customFormat="1">
      <c r="A99" s="28">
        <v>8.8999999999999897</v>
      </c>
      <c r="B99" s="28">
        <f t="shared" si="32"/>
        <v>1.5357849297537641E-6</v>
      </c>
      <c r="C99" s="28">
        <f t="shared" si="33"/>
        <v>8.8999999999999879</v>
      </c>
      <c r="D99" s="29">
        <f t="shared" si="44"/>
        <v>29163.51999999996</v>
      </c>
      <c r="E99" s="30">
        <f t="shared" si="34"/>
        <v>88.425136611450895</v>
      </c>
      <c r="F99" s="28"/>
      <c r="G99" s="28">
        <f t="shared" si="48"/>
        <v>1.5357849297537641E-6</v>
      </c>
      <c r="H99" s="28">
        <f t="shared" si="35"/>
        <v>24291663</v>
      </c>
      <c r="I99" s="28">
        <f t="shared" si="36"/>
        <v>29163</v>
      </c>
      <c r="J99" s="30">
        <f t="shared" si="37"/>
        <v>88.410294873300643</v>
      </c>
      <c r="K99" s="28"/>
      <c r="L99" s="28">
        <f t="shared" si="49"/>
        <v>1.5357849297537641E-6</v>
      </c>
      <c r="M99" s="28">
        <f t="shared" si="38"/>
        <v>24291663</v>
      </c>
      <c r="N99" s="30">
        <f t="shared" si="47"/>
        <v>21.939783977015836</v>
      </c>
      <c r="O99" s="30">
        <f t="shared" si="39"/>
        <v>88.410294873300643</v>
      </c>
      <c r="P99" s="28"/>
      <c r="Q99" s="31" t="str">
        <f t="shared" si="40"/>
        <v>15B7EBA1</v>
      </c>
      <c r="R99" s="31" t="str">
        <f t="shared" si="46"/>
        <v>00015B7E</v>
      </c>
      <c r="S99" s="31">
        <f t="shared" si="41"/>
        <v>88958</v>
      </c>
      <c r="T99" s="30">
        <f t="shared" si="42"/>
        <v>22.2395</v>
      </c>
      <c r="U99" s="30">
        <f t="shared" si="43"/>
        <v>-1.3568170237439363</v>
      </c>
    </row>
    <row r="100" spans="1:21" s="24" customFormat="1">
      <c r="A100" s="28">
        <v>8.9999999999999893</v>
      </c>
      <c r="B100" s="28">
        <f t="shared" si="32"/>
        <v>1.6849232455453169E-6</v>
      </c>
      <c r="C100" s="28">
        <f t="shared" si="33"/>
        <v>8.9999999999999876</v>
      </c>
      <c r="D100" s="29">
        <f t="shared" si="44"/>
        <v>29491.199999999961</v>
      </c>
      <c r="E100" s="30">
        <f t="shared" si="34"/>
        <v>98.291099620935739</v>
      </c>
      <c r="F100" s="28"/>
      <c r="G100" s="28">
        <f t="shared" si="48"/>
        <v>1.6849232455453169E-6</v>
      </c>
      <c r="H100" s="28">
        <f t="shared" si="35"/>
        <v>26650599</v>
      </c>
      <c r="I100" s="28">
        <f t="shared" si="36"/>
        <v>29491</v>
      </c>
      <c r="J100" s="30">
        <f t="shared" si="37"/>
        <v>98.28475402664381</v>
      </c>
      <c r="K100" s="28"/>
      <c r="L100" s="28">
        <f t="shared" si="49"/>
        <v>1.6849232455453169E-6</v>
      </c>
      <c r="M100" s="28">
        <f t="shared" si="38"/>
        <v>26650599</v>
      </c>
      <c r="N100" s="30">
        <f t="shared" si="47"/>
        <v>24.070331657329277</v>
      </c>
      <c r="O100" s="30">
        <f t="shared" si="39"/>
        <v>98.28475402664381</v>
      </c>
      <c r="P100" s="28"/>
      <c r="Q100" s="31" t="str">
        <f t="shared" si="40"/>
        <v>17D3D689</v>
      </c>
      <c r="R100" s="31" t="str">
        <f t="shared" si="46"/>
        <v>00017D3D</v>
      </c>
      <c r="S100" s="31">
        <f t="shared" si="41"/>
        <v>97597</v>
      </c>
      <c r="T100" s="30">
        <f t="shared" si="42"/>
        <v>24.399249999999999</v>
      </c>
      <c r="U100" s="30">
        <f t="shared" si="43"/>
        <v>-1.3572155212566595</v>
      </c>
    </row>
    <row r="101" spans="1:21" s="24" customFormat="1">
      <c r="A101" s="28">
        <v>9.0999999999999908</v>
      </c>
      <c r="B101" s="28">
        <f t="shared" si="32"/>
        <v>1.8485442123944709E-6</v>
      </c>
      <c r="C101" s="28">
        <f t="shared" si="33"/>
        <v>9.099999999999989</v>
      </c>
      <c r="D101" s="29">
        <f t="shared" si="44"/>
        <v>29818.879999999965</v>
      </c>
      <c r="E101" s="30">
        <f t="shared" si="34"/>
        <v>109.25784946360619</v>
      </c>
      <c r="F101" s="28"/>
      <c r="G101" s="28">
        <f t="shared" si="48"/>
        <v>1.8485442123944709E-6</v>
      </c>
      <c r="H101" s="28">
        <f t="shared" si="35"/>
        <v>29238608</v>
      </c>
      <c r="I101" s="28">
        <f t="shared" si="36"/>
        <v>29818</v>
      </c>
      <c r="J101" s="30">
        <f t="shared" si="37"/>
        <v>109.22681703474913</v>
      </c>
      <c r="K101" s="28"/>
      <c r="L101" s="28">
        <f t="shared" si="49"/>
        <v>1.8485442123944709E-6</v>
      </c>
      <c r="M101" s="28">
        <f t="shared" si="38"/>
        <v>29238608</v>
      </c>
      <c r="N101" s="30">
        <f t="shared" si="47"/>
        <v>26.407773864994216</v>
      </c>
      <c r="O101" s="30">
        <f t="shared" si="39"/>
        <v>109.22681703474913</v>
      </c>
      <c r="P101" s="28"/>
      <c r="Q101" s="31" t="str">
        <f t="shared" si="40"/>
        <v>1A242FB0</v>
      </c>
      <c r="R101" s="31" t="str">
        <f t="shared" si="46"/>
        <v>0001A242</v>
      </c>
      <c r="S101" s="31">
        <f t="shared" si="41"/>
        <v>107074</v>
      </c>
      <c r="T101" s="30">
        <f t="shared" si="42"/>
        <v>26.7685</v>
      </c>
      <c r="U101" s="30">
        <f t="shared" si="43"/>
        <v>-1.3567183587236975</v>
      </c>
    </row>
    <row r="102" spans="1:21" s="24" customFormat="1">
      <c r="A102" s="28">
        <v>9.1999999999999904</v>
      </c>
      <c r="B102" s="28">
        <f t="shared" si="32"/>
        <v>2.0280542239603064E-6</v>
      </c>
      <c r="C102" s="28">
        <f t="shared" si="33"/>
        <v>9.1999999999999886</v>
      </c>
      <c r="D102" s="29">
        <f t="shared" si="44"/>
        <v>30146.559999999965</v>
      </c>
      <c r="E102" s="30">
        <f t="shared" si="34"/>
        <v>121.44820553894206</v>
      </c>
      <c r="F102" s="28"/>
      <c r="G102" s="28">
        <f t="shared" si="48"/>
        <v>2.0280542239603064E-6</v>
      </c>
      <c r="H102" s="28">
        <f t="shared" si="35"/>
        <v>32077936</v>
      </c>
      <c r="I102" s="28">
        <f t="shared" si="36"/>
        <v>30146</v>
      </c>
      <c r="J102" s="30">
        <f t="shared" si="37"/>
        <v>121.42625313893812</v>
      </c>
      <c r="K102" s="28"/>
      <c r="L102" s="28">
        <f t="shared" si="49"/>
        <v>2.0280542239603064E-6</v>
      </c>
      <c r="M102" s="28">
        <f t="shared" si="38"/>
        <v>32077936</v>
      </c>
      <c r="N102" s="30">
        <f t="shared" si="47"/>
        <v>28.972202778728629</v>
      </c>
      <c r="O102" s="30">
        <f t="shared" si="39"/>
        <v>121.42625313893812</v>
      </c>
      <c r="P102" s="28"/>
      <c r="Q102" s="31" t="str">
        <f t="shared" si="40"/>
        <v>1CAE0E90</v>
      </c>
      <c r="R102" s="31" t="str">
        <f t="shared" si="46"/>
        <v>0001CAE0</v>
      </c>
      <c r="S102" s="31">
        <f t="shared" si="41"/>
        <v>117472</v>
      </c>
      <c r="T102" s="30">
        <f t="shared" si="42"/>
        <v>29.367999999999999</v>
      </c>
      <c r="U102" s="30">
        <f t="shared" si="43"/>
        <v>-1.3568592580061463</v>
      </c>
    </row>
    <row r="103" spans="1:21" s="24" customFormat="1">
      <c r="A103" s="28">
        <v>9.2999999999999901</v>
      </c>
      <c r="B103" s="28">
        <f t="shared" si="32"/>
        <v>2.2249962471795857E-6</v>
      </c>
      <c r="C103" s="28">
        <f t="shared" si="33"/>
        <v>9.2999999999999883</v>
      </c>
      <c r="D103" s="29">
        <f t="shared" si="44"/>
        <v>30474.239999999962</v>
      </c>
      <c r="E103" s="30">
        <f t="shared" si="34"/>
        <v>134.9986907214589</v>
      </c>
      <c r="F103" s="28"/>
      <c r="G103" s="28">
        <f t="shared" si="48"/>
        <v>2.2249962471795857E-6</v>
      </c>
      <c r="H103" s="28">
        <f t="shared" si="35"/>
        <v>35192988</v>
      </c>
      <c r="I103" s="28">
        <f t="shared" si="36"/>
        <v>30474</v>
      </c>
      <c r="J103" s="30">
        <f t="shared" si="37"/>
        <v>134.98823230077971</v>
      </c>
      <c r="K103" s="28"/>
      <c r="L103" s="28">
        <f t="shared" si="49"/>
        <v>2.2249962471795857E-6</v>
      </c>
      <c r="M103" s="28">
        <f t="shared" si="38"/>
        <v>35192988</v>
      </c>
      <c r="N103" s="30">
        <f t="shared" si="47"/>
        <v>31.785660546406827</v>
      </c>
      <c r="O103" s="30">
        <f t="shared" si="39"/>
        <v>134.98823230077971</v>
      </c>
      <c r="P103" s="28"/>
      <c r="Q103" s="31" t="str">
        <f t="shared" si="40"/>
        <v>1F770924</v>
      </c>
      <c r="R103" s="31" t="str">
        <f t="shared" si="46"/>
        <v>0001F770</v>
      </c>
      <c r="S103" s="31">
        <f t="shared" si="41"/>
        <v>128880</v>
      </c>
      <c r="T103" s="30">
        <f t="shared" si="42"/>
        <v>32.22</v>
      </c>
      <c r="U103" s="30">
        <f t="shared" si="43"/>
        <v>-1.3571907543341637</v>
      </c>
    </row>
    <row r="104" spans="1:21" s="24" customFormat="1">
      <c r="A104" s="28">
        <v>9.3999999999999897</v>
      </c>
      <c r="B104" s="28">
        <f t="shared" si="32"/>
        <v>2.4410630847413348E-6</v>
      </c>
      <c r="C104" s="28">
        <f t="shared" si="33"/>
        <v>9.3999999999999879</v>
      </c>
      <c r="D104" s="29">
        <f t="shared" si="44"/>
        <v>30801.919999999962</v>
      </c>
      <c r="E104" s="30">
        <f t="shared" si="34"/>
        <v>150.06106031483901</v>
      </c>
      <c r="F104" s="28"/>
      <c r="G104" s="28">
        <f t="shared" si="48"/>
        <v>2.4410630847413348E-6</v>
      </c>
      <c r="H104" s="28">
        <f t="shared" si="35"/>
        <v>38610538</v>
      </c>
      <c r="I104" s="28">
        <f t="shared" si="36"/>
        <v>30801</v>
      </c>
      <c r="J104" s="30">
        <f t="shared" si="37"/>
        <v>150.01650151522423</v>
      </c>
      <c r="K104" s="28"/>
      <c r="L104" s="28">
        <f t="shared" si="49"/>
        <v>2.4410630847413348E-6</v>
      </c>
      <c r="M104" s="28">
        <f t="shared" si="38"/>
        <v>38610538</v>
      </c>
      <c r="N104" s="30">
        <f t="shared" si="47"/>
        <v>34.87232895320345</v>
      </c>
      <c r="O104" s="30">
        <f t="shared" si="39"/>
        <v>150.01650151522423</v>
      </c>
      <c r="P104" s="28"/>
      <c r="Q104" s="31" t="str">
        <f t="shared" si="40"/>
        <v>22854036</v>
      </c>
      <c r="R104" s="31" t="str">
        <f t="shared" si="46"/>
        <v>00022854</v>
      </c>
      <c r="S104" s="31">
        <f t="shared" si="41"/>
        <v>141396</v>
      </c>
      <c r="T104" s="30">
        <f t="shared" si="42"/>
        <v>35.348999999999997</v>
      </c>
      <c r="U104" s="30">
        <f t="shared" si="43"/>
        <v>-1.3576246815670705</v>
      </c>
    </row>
    <row r="105" spans="1:21" s="24" customFormat="1">
      <c r="A105" s="28">
        <v>9.4999999999999893</v>
      </c>
      <c r="B105" s="28">
        <f t="shared" si="32"/>
        <v>2.6781119254651627E-6</v>
      </c>
      <c r="C105" s="28">
        <f t="shared" si="33"/>
        <v>9.4999999999999876</v>
      </c>
      <c r="D105" s="29">
        <f t="shared" si="44"/>
        <v>31129.599999999962</v>
      </c>
      <c r="E105" s="30">
        <f t="shared" si="34"/>
        <v>166.8040015978786</v>
      </c>
      <c r="F105" s="28"/>
      <c r="G105" s="28">
        <f t="shared" si="48"/>
        <v>2.6781119254651627E-6</v>
      </c>
      <c r="H105" s="28">
        <f t="shared" si="35"/>
        <v>42359964</v>
      </c>
      <c r="I105" s="28">
        <f t="shared" si="36"/>
        <v>31129</v>
      </c>
      <c r="J105" s="30">
        <f t="shared" si="37"/>
        <v>166.77169748716875</v>
      </c>
      <c r="K105" s="28"/>
      <c r="L105" s="28">
        <f t="shared" si="49"/>
        <v>2.6781119254651627E-6</v>
      </c>
      <c r="M105" s="28">
        <f t="shared" si="38"/>
        <v>42359964</v>
      </c>
      <c r="N105" s="30">
        <f t="shared" si="47"/>
        <v>38.258741669278372</v>
      </c>
      <c r="O105" s="30">
        <f t="shared" si="39"/>
        <v>166.77169748716875</v>
      </c>
      <c r="P105" s="28"/>
      <c r="Q105" s="31" t="str">
        <f t="shared" si="40"/>
        <v>25DF6D24</v>
      </c>
      <c r="R105" s="31" t="str">
        <f t="shared" si="46"/>
        <v>00025DF6</v>
      </c>
      <c r="S105" s="31">
        <f t="shared" si="41"/>
        <v>155126</v>
      </c>
      <c r="T105" s="30">
        <f t="shared" si="42"/>
        <v>38.781500000000001</v>
      </c>
      <c r="U105" s="30">
        <f t="shared" si="43"/>
        <v>-1.3571045972720295</v>
      </c>
    </row>
    <row r="106" spans="1:21" s="24" customFormat="1">
      <c r="A106" s="28">
        <v>9.5999999999999908</v>
      </c>
      <c r="B106" s="28">
        <f t="shared" ref="B106:B110" si="50">EXP((A106/_c1)-(_c2/_c1))</f>
        <v>2.9381803076501566E-6</v>
      </c>
      <c r="C106" s="28">
        <f t="shared" ref="C106:C110" si="51">_c1*LN(B106)+_c2</f>
        <v>9.599999999999989</v>
      </c>
      <c r="D106" s="29">
        <f t="shared" si="44"/>
        <v>31457.279999999966</v>
      </c>
      <c r="E106" s="30">
        <f t="shared" si="34"/>
        <v>185.4150229959005</v>
      </c>
      <c r="F106" s="28"/>
      <c r="G106" s="28">
        <f t="shared" si="48"/>
        <v>2.9381803076501566E-6</v>
      </c>
      <c r="H106" s="28">
        <f t="shared" ref="H106:H110" si="52">INT((G1_)*G106)</f>
        <v>46473491</v>
      </c>
      <c r="I106" s="28">
        <f t="shared" ref="I106:I110" si="53">INT(m*LN(H106)+b)</f>
        <v>31457</v>
      </c>
      <c r="J106" s="30">
        <f t="shared" ref="J106:J110" si="54">d1_*EXP(d2_*I106/3276.8)</f>
        <v>185.39826486974255</v>
      </c>
      <c r="K106" s="28"/>
      <c r="L106" s="28">
        <f t="shared" si="49"/>
        <v>2.9381803076501566E-6</v>
      </c>
      <c r="M106" s="28">
        <f t="shared" ref="M106:M110" si="55">INT((G1_)*L106)</f>
        <v>46473491</v>
      </c>
      <c r="N106" s="30">
        <f t="shared" si="47"/>
        <v>41.974003722914716</v>
      </c>
      <c r="O106" s="30">
        <f t="shared" si="39"/>
        <v>185.39826486974255</v>
      </c>
      <c r="P106" s="28"/>
      <c r="Q106" s="31" t="str">
        <f t="shared" si="40"/>
        <v>298CF01D</v>
      </c>
      <c r="R106" s="31" t="str">
        <f t="shared" si="46"/>
        <v>000298CF</v>
      </c>
      <c r="S106" s="31">
        <f t="shared" si="41"/>
        <v>170191</v>
      </c>
      <c r="T106" s="30">
        <f t="shared" si="42"/>
        <v>42.547750000000001</v>
      </c>
      <c r="U106" s="30">
        <f t="shared" ref="U106:U110" si="56">200*(N106-T106)/(N106+T106)</f>
        <v>-1.357629845131185</v>
      </c>
    </row>
    <row r="107" spans="1:21" s="24" customFormat="1">
      <c r="A107" s="28">
        <v>9.6999999999999904</v>
      </c>
      <c r="B107" s="28">
        <f t="shared" si="50"/>
        <v>3.2235036326062801E-6</v>
      </c>
      <c r="C107" s="28">
        <f t="shared" si="51"/>
        <v>9.6999999999999886</v>
      </c>
      <c r="D107" s="29">
        <f t="shared" si="44"/>
        <v>31784.959999999963</v>
      </c>
      <c r="E107" s="30">
        <f t="shared" si="34"/>
        <v>206.10255403493593</v>
      </c>
      <c r="F107" s="28"/>
      <c r="G107" s="28">
        <f t="shared" si="48"/>
        <v>3.2235036326062801E-6</v>
      </c>
      <c r="H107" s="28">
        <f t="shared" si="52"/>
        <v>50986479</v>
      </c>
      <c r="I107" s="28">
        <f t="shared" si="53"/>
        <v>31785</v>
      </c>
      <c r="J107" s="30">
        <f t="shared" si="54"/>
        <v>206.10521530103031</v>
      </c>
      <c r="K107" s="28"/>
      <c r="L107" s="28">
        <f t="shared" si="49"/>
        <v>3.2235036326062801E-6</v>
      </c>
      <c r="M107" s="28">
        <f t="shared" si="55"/>
        <v>50986479</v>
      </c>
      <c r="N107" s="30">
        <f t="shared" si="47"/>
        <v>46.050051616830615</v>
      </c>
      <c r="O107" s="30">
        <f t="shared" si="39"/>
        <v>206.10521530103031</v>
      </c>
      <c r="P107" s="28"/>
      <c r="Q107" s="31" t="str">
        <f t="shared" si="40"/>
        <v>2D95E101</v>
      </c>
      <c r="R107" s="31" t="str">
        <f t="shared" si="46"/>
        <v>0002D95E</v>
      </c>
      <c r="S107" s="31">
        <f t="shared" si="41"/>
        <v>186718</v>
      </c>
      <c r="T107" s="30">
        <f t="shared" si="42"/>
        <v>46.679499999999997</v>
      </c>
      <c r="U107" s="30">
        <f t="shared" si="56"/>
        <v>-1.3576004028798436</v>
      </c>
    </row>
    <row r="108" spans="1:21" s="24" customFormat="1">
      <c r="A108" s="28">
        <v>9.7999999999999901</v>
      </c>
      <c r="B108" s="28">
        <f t="shared" si="50"/>
        <v>3.5365343789048086E-6</v>
      </c>
      <c r="C108" s="28">
        <f t="shared" si="51"/>
        <v>9.7999999999999883</v>
      </c>
      <c r="D108" s="29">
        <f t="shared" si="44"/>
        <v>32112.639999999963</v>
      </c>
      <c r="E108" s="30">
        <f t="shared" si="34"/>
        <v>229.09827959659339</v>
      </c>
      <c r="F108" s="28"/>
      <c r="G108" s="28">
        <f t="shared" si="48"/>
        <v>3.5365343789048086E-6</v>
      </c>
      <c r="H108" s="28">
        <f t="shared" si="52"/>
        <v>55937717</v>
      </c>
      <c r="I108" s="28">
        <f t="shared" si="53"/>
        <v>32112</v>
      </c>
      <c r="J108" s="30">
        <f t="shared" si="54"/>
        <v>229.05095367579011</v>
      </c>
      <c r="K108" s="28"/>
      <c r="L108" s="28">
        <f t="shared" si="49"/>
        <v>3.5365343789048086E-6</v>
      </c>
      <c r="M108" s="28">
        <f t="shared" si="55"/>
        <v>55937717</v>
      </c>
      <c r="N108" s="30">
        <f t="shared" ref="N108:N110" si="57">M108*H1_</f>
        <v>50.521918863580737</v>
      </c>
      <c r="O108" s="30">
        <f t="shared" si="39"/>
        <v>229.05095367579011</v>
      </c>
      <c r="P108" s="28"/>
      <c r="Q108" s="31" t="str">
        <f t="shared" si="40"/>
        <v>3203209B</v>
      </c>
      <c r="R108" s="31" t="str">
        <f t="shared" si="46"/>
        <v>00032032</v>
      </c>
      <c r="S108" s="31">
        <f t="shared" si="41"/>
        <v>204850</v>
      </c>
      <c r="T108" s="30">
        <f t="shared" si="42"/>
        <v>51.212499999999999</v>
      </c>
      <c r="U108" s="30">
        <f t="shared" si="56"/>
        <v>-1.3576155329403043</v>
      </c>
    </row>
    <row r="109" spans="1:21" s="24" customFormat="1">
      <c r="A109" s="28">
        <v>9.8999999999999897</v>
      </c>
      <c r="B109" s="28">
        <f t="shared" si="50"/>
        <v>3.879963182502558E-6</v>
      </c>
      <c r="C109" s="28">
        <f t="shared" si="51"/>
        <v>9.8999999999999879</v>
      </c>
      <c r="D109" s="29">
        <f t="shared" si="44"/>
        <v>32440.319999999963</v>
      </c>
      <c r="E109" s="30">
        <f t="shared" si="34"/>
        <v>254.65973461552642</v>
      </c>
      <c r="F109" s="28"/>
      <c r="G109" s="28">
        <f t="shared" si="48"/>
        <v>3.879963182502558E-6</v>
      </c>
      <c r="H109" s="28">
        <f t="shared" si="52"/>
        <v>61369765</v>
      </c>
      <c r="I109" s="28">
        <f t="shared" si="53"/>
        <v>32440</v>
      </c>
      <c r="J109" s="30">
        <f t="shared" si="54"/>
        <v>254.63343012095081</v>
      </c>
      <c r="K109" s="28"/>
      <c r="L109" s="28">
        <f t="shared" si="49"/>
        <v>3.879963182502558E-6</v>
      </c>
      <c r="M109" s="28">
        <f t="shared" si="55"/>
        <v>61369765</v>
      </c>
      <c r="N109" s="30">
        <f t="shared" si="57"/>
        <v>55.428044873676505</v>
      </c>
      <c r="O109" s="30">
        <f t="shared" si="39"/>
        <v>254.63343012095081</v>
      </c>
      <c r="P109" s="28"/>
      <c r="Q109" s="31" t="str">
        <f t="shared" si="40"/>
        <v>36DE6CAB</v>
      </c>
      <c r="R109" s="31" t="str">
        <f t="shared" si="46"/>
        <v>00036DE6</v>
      </c>
      <c r="S109" s="31">
        <f t="shared" si="41"/>
        <v>224742</v>
      </c>
      <c r="T109" s="30">
        <f t="shared" si="42"/>
        <v>56.185499999999998</v>
      </c>
      <c r="U109" s="30">
        <f t="shared" si="56"/>
        <v>-1.3572817298846214</v>
      </c>
    </row>
    <row r="110" spans="1:21" s="24" customFormat="1">
      <c r="A110" s="28">
        <v>9.9999999999999893</v>
      </c>
      <c r="B110" s="28">
        <f t="shared" si="50"/>
        <v>4.2567419639328722E-6</v>
      </c>
      <c r="C110" s="28">
        <f t="shared" si="51"/>
        <v>9.9999999999999876</v>
      </c>
      <c r="D110" s="29">
        <f t="shared" si="44"/>
        <v>32767.99999999996</v>
      </c>
      <c r="E110" s="30">
        <f t="shared" si="34"/>
        <v>283.07318827816579</v>
      </c>
      <c r="F110" s="28"/>
      <c r="G110" s="28">
        <f t="shared" si="48"/>
        <v>4.2567419639328722E-6</v>
      </c>
      <c r="H110" s="28">
        <f t="shared" si="52"/>
        <v>67329313</v>
      </c>
      <c r="I110" s="28">
        <f t="shared" si="53"/>
        <v>32768</v>
      </c>
      <c r="J110" s="30">
        <f t="shared" si="54"/>
        <v>283.07318827816925</v>
      </c>
      <c r="K110" s="28"/>
      <c r="L110" s="28">
        <f t="shared" si="49"/>
        <v>4.2567419639328722E-6</v>
      </c>
      <c r="M110" s="28">
        <f t="shared" si="55"/>
        <v>67329313</v>
      </c>
      <c r="N110" s="30">
        <f t="shared" si="57"/>
        <v>60.810599197794069</v>
      </c>
      <c r="O110" s="30">
        <f t="shared" si="39"/>
        <v>283.07318827816925</v>
      </c>
      <c r="P110" s="28"/>
      <c r="Q110" s="31" t="str">
        <f t="shared" si="40"/>
        <v>3C3274EF</v>
      </c>
      <c r="R110" s="31" t="str">
        <f t="shared" si="46"/>
        <v>0003C327</v>
      </c>
      <c r="S110" s="31">
        <f t="shared" si="41"/>
        <v>246567</v>
      </c>
      <c r="T110" s="30">
        <f t="shared" si="42"/>
        <v>61.641750000000002</v>
      </c>
      <c r="U110" s="30">
        <f t="shared" si="56"/>
        <v>-1.3575089537292531</v>
      </c>
    </row>
  </sheetData>
  <pageMargins left="0.38" right="0.5" top="0.33" bottom="0.32" header="0.3" footer="0.3"/>
  <pageSetup scale="65" fitToWidth="2" fitToHeight="2" orientation="landscape" horizontalDpi="300" verticalDpi="300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F73"/>
  <sheetViews>
    <sheetView tabSelected="1" workbookViewId="0">
      <selection activeCell="E11" sqref="E11:I68"/>
    </sheetView>
  </sheetViews>
  <sheetFormatPr defaultRowHeight="15"/>
  <cols>
    <col min="2" max="3" width="12.85546875" customWidth="1"/>
    <col min="5" max="5" width="10.85546875" style="72" customWidth="1"/>
    <col min="6" max="7" width="12.7109375" style="84" customWidth="1"/>
    <col min="8" max="8" width="14.5703125" style="84" customWidth="1"/>
    <col min="9" max="9" width="26.28515625" style="84" customWidth="1"/>
    <col min="10" max="10" width="1.85546875" style="84" customWidth="1"/>
    <col min="11" max="14" width="12.7109375" style="84" customWidth="1"/>
    <col min="15" max="15" width="13" style="84" customWidth="1"/>
    <col min="16" max="68" width="13" customWidth="1"/>
  </cols>
  <sheetData>
    <row r="3" spans="1:32">
      <c r="A3" s="115" t="s">
        <v>100</v>
      </c>
      <c r="B3" s="33"/>
      <c r="G3" s="92"/>
      <c r="H3" s="92"/>
      <c r="I3" s="92"/>
      <c r="J3" s="92"/>
      <c r="K3" s="92"/>
      <c r="L3" s="92"/>
      <c r="M3" s="92"/>
      <c r="N3" s="92"/>
      <c r="O3" s="92"/>
    </row>
    <row r="4" spans="1:32" ht="15.75" thickBot="1">
      <c r="A4" s="115" t="s">
        <v>101</v>
      </c>
      <c r="B4" s="84"/>
      <c r="G4" s="33"/>
      <c r="H4" s="33"/>
      <c r="I4" s="33"/>
      <c r="J4" s="33"/>
      <c r="K4" s="33"/>
      <c r="L4" s="33"/>
      <c r="M4" s="33"/>
      <c r="N4" s="33"/>
      <c r="O4" s="33"/>
    </row>
    <row r="5" spans="1:32">
      <c r="A5" s="96" t="s">
        <v>2</v>
      </c>
      <c r="B5" s="48">
        <v>7.2119599999999999E-3</v>
      </c>
      <c r="H5" s="98"/>
      <c r="I5" s="101"/>
      <c r="J5" s="101"/>
      <c r="K5" s="101"/>
      <c r="L5" s="101" t="s">
        <v>107</v>
      </c>
      <c r="M5" s="102">
        <v>6</v>
      </c>
      <c r="N5" s="102">
        <v>7</v>
      </c>
      <c r="O5" s="102">
        <v>8</v>
      </c>
      <c r="P5" s="102">
        <v>9</v>
      </c>
      <c r="Q5" s="102">
        <v>10</v>
      </c>
      <c r="R5" s="102">
        <v>11</v>
      </c>
      <c r="S5" s="102">
        <v>12</v>
      </c>
      <c r="T5" s="102">
        <v>13</v>
      </c>
      <c r="U5" s="102">
        <v>14</v>
      </c>
      <c r="V5" s="102">
        <v>15</v>
      </c>
      <c r="W5" s="102">
        <v>16</v>
      </c>
      <c r="X5" s="102">
        <v>17</v>
      </c>
      <c r="Y5" s="102">
        <v>18</v>
      </c>
      <c r="Z5" s="102">
        <v>19</v>
      </c>
      <c r="AA5" s="102">
        <v>20</v>
      </c>
      <c r="AB5" s="102">
        <v>21</v>
      </c>
      <c r="AC5" s="102">
        <v>22</v>
      </c>
      <c r="AD5" s="102">
        <v>23</v>
      </c>
      <c r="AE5" s="102">
        <v>24</v>
      </c>
      <c r="AF5" s="103">
        <v>25</v>
      </c>
    </row>
    <row r="6" spans="1:32" ht="15.75" thickBot="1">
      <c r="A6" s="97" t="s">
        <v>3</v>
      </c>
      <c r="B6" s="50">
        <v>1.0577719999999999</v>
      </c>
      <c r="G6" s="94"/>
      <c r="H6" s="104"/>
      <c r="I6" s="94"/>
      <c r="J6" s="94"/>
      <c r="K6" s="94"/>
      <c r="L6" s="94" t="s">
        <v>10</v>
      </c>
      <c r="M6" s="90">
        <v>2.9999999999999997E-4</v>
      </c>
      <c r="N6" s="90">
        <v>6.9999999999999999E-4</v>
      </c>
      <c r="O6" s="90">
        <v>1E-3</v>
      </c>
      <c r="P6" s="90">
        <v>2E-3</v>
      </c>
      <c r="Q6" s="90">
        <v>4.0000000000000001E-3</v>
      </c>
      <c r="R6" s="90">
        <v>7.0000000000000001E-3</v>
      </c>
      <c r="S6" s="90">
        <v>0.01</v>
      </c>
      <c r="T6" s="90">
        <v>0.02</v>
      </c>
      <c r="U6" s="90">
        <v>0.04</v>
      </c>
      <c r="V6" s="90">
        <v>7.0000000000000007E-2</v>
      </c>
      <c r="W6" s="90">
        <v>0.1</v>
      </c>
      <c r="X6" s="90">
        <v>0.2</v>
      </c>
      <c r="Y6" s="90">
        <v>0.4</v>
      </c>
      <c r="Z6" s="90">
        <v>0.7</v>
      </c>
      <c r="AA6" s="90">
        <v>1</v>
      </c>
      <c r="AB6" s="90">
        <v>2</v>
      </c>
      <c r="AC6" s="90">
        <v>4</v>
      </c>
      <c r="AD6" s="90">
        <v>7</v>
      </c>
      <c r="AE6" s="90">
        <v>10</v>
      </c>
      <c r="AF6" s="105">
        <v>16</v>
      </c>
    </row>
    <row r="7" spans="1:32" ht="15.75" thickBot="1">
      <c r="G7" s="94"/>
      <c r="H7" s="104" t="s">
        <v>108</v>
      </c>
      <c r="I7" s="94" t="s">
        <v>104</v>
      </c>
      <c r="J7" s="94"/>
      <c r="K7" s="92"/>
      <c r="L7" s="92" t="s">
        <v>102</v>
      </c>
      <c r="M7" s="106">
        <f t="shared" ref="M7:AF7" si="0">VLOOKUP($H$8,all_data,M5,FALSE)</f>
        <v>2.5412118927079489E-4</v>
      </c>
      <c r="N7" s="106">
        <f t="shared" si="0"/>
        <v>6.7864558974393171E-4</v>
      </c>
      <c r="O7" s="106">
        <f t="shared" si="0"/>
        <v>1.026180313821999E-3</v>
      </c>
      <c r="P7" s="106">
        <f t="shared" si="0"/>
        <v>2.291992568489918E-3</v>
      </c>
      <c r="Q7" s="106">
        <f t="shared" si="0"/>
        <v>5.1192074757772602E-3</v>
      </c>
      <c r="R7" s="106">
        <f t="shared" si="0"/>
        <v>9.7940235312643734E-3</v>
      </c>
      <c r="S7" s="106">
        <f t="shared" si="0"/>
        <v>1.4809547564709256E-2</v>
      </c>
      <c r="T7" s="106">
        <f t="shared" si="0"/>
        <v>3.3077396344303074E-2</v>
      </c>
      <c r="U7" s="106">
        <f t="shared" si="0"/>
        <v>7.387897193600719E-2</v>
      </c>
      <c r="V7" s="106">
        <f t="shared" si="0"/>
        <v>0.14134461106150292</v>
      </c>
      <c r="W7" s="106">
        <f t="shared" si="0"/>
        <v>0.21372725252789124</v>
      </c>
      <c r="X7" s="106">
        <f t="shared" si="0"/>
        <v>0.47736374190731923</v>
      </c>
      <c r="Y7" s="106">
        <f t="shared" si="0"/>
        <v>1.066200680505258</v>
      </c>
      <c r="Z7" s="106">
        <f t="shared" si="0"/>
        <v>2.0398459338343451</v>
      </c>
      <c r="AA7" s="106">
        <f t="shared" si="0"/>
        <v>3.0844519910907842</v>
      </c>
      <c r="AB7" s="106">
        <f t="shared" si="0"/>
        <v>6.8891801433157474</v>
      </c>
      <c r="AC7" s="106">
        <f t="shared" si="0"/>
        <v>15.387110314617592</v>
      </c>
      <c r="AD7" s="106">
        <f t="shared" si="0"/>
        <v>29.438486565079959</v>
      </c>
      <c r="AE7" s="106">
        <f t="shared" si="0"/>
        <v>44.513949310710082</v>
      </c>
      <c r="AF7" s="107">
        <f t="shared" si="0"/>
        <v>76.760203925392503</v>
      </c>
    </row>
    <row r="8" spans="1:32" ht="15.75" thickBot="1">
      <c r="H8" s="122" t="s">
        <v>85</v>
      </c>
      <c r="I8" s="109">
        <f>VLOOKUP(H8,m_data,2,FALSE)</f>
        <v>4.5927722377844553</v>
      </c>
      <c r="J8" s="108"/>
      <c r="K8" s="108"/>
      <c r="L8" s="108" t="s">
        <v>106</v>
      </c>
      <c r="M8" s="109">
        <f t="shared" ref="M8:AF8" si="1">M11*$I$8</f>
        <v>1.3778316713353364E-3</v>
      </c>
      <c r="N8" s="109">
        <f t="shared" si="1"/>
        <v>3.2149405664491188E-3</v>
      </c>
      <c r="O8" s="109">
        <f t="shared" si="1"/>
        <v>4.5927722377844555E-3</v>
      </c>
      <c r="P8" s="109">
        <f t="shared" si="1"/>
        <v>9.185544475568911E-3</v>
      </c>
      <c r="Q8" s="109">
        <f t="shared" si="1"/>
        <v>1.8371088951137822E-2</v>
      </c>
      <c r="R8" s="109">
        <f t="shared" si="1"/>
        <v>3.214940566449119E-2</v>
      </c>
      <c r="S8" s="109">
        <f t="shared" si="1"/>
        <v>4.5927722377844551E-2</v>
      </c>
      <c r="T8" s="109">
        <f t="shared" si="1"/>
        <v>9.1855444755689103E-2</v>
      </c>
      <c r="U8" s="109">
        <f t="shared" si="1"/>
        <v>0.18371088951137821</v>
      </c>
      <c r="V8" s="109">
        <f t="shared" si="1"/>
        <v>0.32149405664491193</v>
      </c>
      <c r="W8" s="109">
        <f t="shared" si="1"/>
        <v>0.45927722377844554</v>
      </c>
      <c r="X8" s="109">
        <f t="shared" si="1"/>
        <v>0.91855444755689108</v>
      </c>
      <c r="Y8" s="109">
        <f t="shared" si="1"/>
        <v>1.8371088951137822</v>
      </c>
      <c r="Z8" s="109">
        <f t="shared" si="1"/>
        <v>3.2149405664491186</v>
      </c>
      <c r="AA8" s="109">
        <f t="shared" si="1"/>
        <v>4.5927722377844553</v>
      </c>
      <c r="AB8" s="109">
        <f t="shared" si="1"/>
        <v>9.1855444755689106</v>
      </c>
      <c r="AC8" s="109">
        <f t="shared" si="1"/>
        <v>18.371088951137821</v>
      </c>
      <c r="AD8" s="109">
        <f t="shared" si="1"/>
        <v>32.149405664491184</v>
      </c>
      <c r="AE8" s="109">
        <f t="shared" si="1"/>
        <v>45.927722377844553</v>
      </c>
      <c r="AF8" s="41">
        <f t="shared" si="1"/>
        <v>73.484355804551285</v>
      </c>
    </row>
    <row r="9" spans="1:32">
      <c r="A9" s="85" t="s">
        <v>98</v>
      </c>
      <c r="B9" s="85"/>
      <c r="C9" s="85"/>
    </row>
    <row r="10" spans="1:32" ht="15.75" thickBot="1">
      <c r="A10" s="85"/>
      <c r="B10" s="85"/>
      <c r="C10" s="85"/>
      <c r="I10" s="84" t="s">
        <v>103</v>
      </c>
      <c r="L10" s="84" t="s">
        <v>7</v>
      </c>
      <c r="M10" s="84">
        <f t="shared" ref="M10:AF10" si="2">0.00000007*M11</f>
        <v>2.0999999999999999E-11</v>
      </c>
      <c r="N10" s="84">
        <f t="shared" si="2"/>
        <v>4.9000000000000005E-11</v>
      </c>
      <c r="O10" s="84">
        <f t="shared" si="2"/>
        <v>7.0000000000000004E-11</v>
      </c>
      <c r="P10" s="84">
        <f t="shared" si="2"/>
        <v>1.4000000000000001E-10</v>
      </c>
      <c r="Q10" s="84">
        <f t="shared" si="2"/>
        <v>2.8000000000000002E-10</v>
      </c>
      <c r="R10" s="84">
        <f t="shared" si="2"/>
        <v>4.9000000000000007E-10</v>
      </c>
      <c r="S10" s="84">
        <f t="shared" si="2"/>
        <v>7.0000000000000006E-10</v>
      </c>
      <c r="T10" s="84">
        <f t="shared" si="2"/>
        <v>1.4000000000000001E-9</v>
      </c>
      <c r="U10" s="84">
        <f t="shared" si="2"/>
        <v>2.8000000000000003E-9</v>
      </c>
      <c r="V10" s="84">
        <f t="shared" si="2"/>
        <v>4.9000000000000009E-9</v>
      </c>
      <c r="W10" s="84">
        <f t="shared" si="2"/>
        <v>7.0000000000000006E-9</v>
      </c>
      <c r="X10" s="84">
        <f t="shared" si="2"/>
        <v>1.4000000000000001E-8</v>
      </c>
      <c r="Y10" s="84">
        <f t="shared" si="2"/>
        <v>2.8000000000000003E-8</v>
      </c>
      <c r="Z10" s="84">
        <f t="shared" si="2"/>
        <v>4.9000000000000002E-8</v>
      </c>
      <c r="AA10" s="84">
        <f t="shared" si="2"/>
        <v>7.0000000000000005E-8</v>
      </c>
      <c r="AB10" s="84">
        <f t="shared" si="2"/>
        <v>1.4000000000000001E-7</v>
      </c>
      <c r="AC10" s="84">
        <f t="shared" si="2"/>
        <v>2.8000000000000002E-7</v>
      </c>
      <c r="AD10" s="84">
        <f t="shared" si="2"/>
        <v>4.9000000000000007E-7</v>
      </c>
      <c r="AE10" s="84">
        <f t="shared" si="2"/>
        <v>7.0000000000000007E-7</v>
      </c>
      <c r="AF10" s="84">
        <f t="shared" si="2"/>
        <v>1.1200000000000001E-6</v>
      </c>
    </row>
    <row r="11" spans="1:32">
      <c r="A11" s="86" t="s">
        <v>43</v>
      </c>
      <c r="B11" s="86" t="s">
        <v>44</v>
      </c>
      <c r="C11" s="86" t="s">
        <v>45</v>
      </c>
      <c r="E11" s="112" t="s">
        <v>97</v>
      </c>
      <c r="F11" s="113" t="s">
        <v>44</v>
      </c>
      <c r="G11" s="111" t="s">
        <v>45</v>
      </c>
      <c r="H11" s="110" t="s">
        <v>105</v>
      </c>
      <c r="I11" s="111" t="s">
        <v>0</v>
      </c>
      <c r="L11" t="s">
        <v>10</v>
      </c>
      <c r="M11">
        <v>2.9999999999999997E-4</v>
      </c>
      <c r="N11">
        <v>6.9999999999999999E-4</v>
      </c>
      <c r="O11">
        <v>1E-3</v>
      </c>
      <c r="P11">
        <v>2E-3</v>
      </c>
      <c r="Q11">
        <v>4.0000000000000001E-3</v>
      </c>
      <c r="R11">
        <v>7.0000000000000001E-3</v>
      </c>
      <c r="S11">
        <v>0.01</v>
      </c>
      <c r="T11">
        <v>0.02</v>
      </c>
      <c r="U11">
        <v>0.04</v>
      </c>
      <c r="V11">
        <v>7.0000000000000007E-2</v>
      </c>
      <c r="W11">
        <v>0.1</v>
      </c>
      <c r="X11">
        <v>0.2</v>
      </c>
      <c r="Y11">
        <v>0.4</v>
      </c>
      <c r="Z11">
        <v>0.7</v>
      </c>
      <c r="AA11">
        <v>1</v>
      </c>
      <c r="AB11">
        <v>2</v>
      </c>
      <c r="AC11">
        <v>4</v>
      </c>
      <c r="AD11">
        <v>7</v>
      </c>
      <c r="AE11">
        <v>10</v>
      </c>
      <c r="AF11">
        <v>16</v>
      </c>
    </row>
    <row r="12" spans="1:32">
      <c r="A12" s="51" t="s">
        <v>46</v>
      </c>
      <c r="B12" s="52">
        <v>1.0721130000000001</v>
      </c>
      <c r="C12" s="53">
        <v>22.896017000000001</v>
      </c>
      <c r="E12" s="99">
        <v>21</v>
      </c>
      <c r="F12" s="91">
        <f t="shared" ref="F12:F43" si="3">VLOOKUP(E12,data,2,FALSE)</f>
        <v>1.0517319999999999</v>
      </c>
      <c r="G12" s="87">
        <f t="shared" ref="G12:G43" si="4">VLOOKUP(E12,data,3,FALSE)</f>
        <v>22.157015000000001</v>
      </c>
      <c r="H12" s="99">
        <v>21</v>
      </c>
      <c r="I12" s="87">
        <f>LINEST(M12:AF12,M$11:AF$11,FALSE)</f>
        <v>1.5803081670982388</v>
      </c>
      <c r="J12" s="91"/>
      <c r="K12" s="84" t="s">
        <v>102</v>
      </c>
      <c r="L12" s="95">
        <v>21</v>
      </c>
      <c r="M12" s="8">
        <f t="shared" ref="M12:V21" si="5">d1_s*EXP(d2_s*($F12*LN(M$10)+$G12))</f>
        <v>1.4377747140277133E-4</v>
      </c>
      <c r="N12" s="8">
        <f t="shared" si="5"/>
        <v>3.6903054495837498E-4</v>
      </c>
      <c r="O12" s="8">
        <f t="shared" si="5"/>
        <v>5.487690482232823E-4</v>
      </c>
      <c r="P12" s="8">
        <f t="shared" si="5"/>
        <v>1.1865424197625614E-3</v>
      </c>
      <c r="Q12" s="8">
        <f t="shared" si="5"/>
        <v>2.5655290116201345E-3</v>
      </c>
      <c r="R12" s="8">
        <f t="shared" si="5"/>
        <v>4.7813988819711325E-3</v>
      </c>
      <c r="S12" s="8">
        <f t="shared" si="5"/>
        <v>7.1102074055445401E-3</v>
      </c>
      <c r="T12" s="8">
        <f t="shared" si="5"/>
        <v>1.5373612501111477E-2</v>
      </c>
      <c r="U12" s="8">
        <f t="shared" si="5"/>
        <v>3.3240656404766457E-2</v>
      </c>
      <c r="V12" s="8">
        <f t="shared" si="5"/>
        <v>6.1950902386937942E-2</v>
      </c>
      <c r="W12" s="8">
        <f t="shared" ref="W12:AF21" si="6">d1_s*EXP(d2_s*($F12*LN(W$10)+$G12))</f>
        <v>9.2124454747473772E-2</v>
      </c>
      <c r="X12" s="8">
        <f t="shared" si="6"/>
        <v>0.19919048606928577</v>
      </c>
      <c r="Y12" s="8">
        <f t="shared" si="6"/>
        <v>0.43068748519899447</v>
      </c>
      <c r="Z12" s="8">
        <f t="shared" si="6"/>
        <v>0.80267603713784841</v>
      </c>
      <c r="AA12" s="8">
        <f t="shared" si="6"/>
        <v>1.1936241347757748</v>
      </c>
      <c r="AB12" s="8">
        <f t="shared" si="6"/>
        <v>2.5808410181829187</v>
      </c>
      <c r="AC12" s="8">
        <f t="shared" si="6"/>
        <v>5.5802661550460977</v>
      </c>
      <c r="AD12" s="8">
        <f t="shared" si="6"/>
        <v>10.399990892322567</v>
      </c>
      <c r="AE12" s="8">
        <f t="shared" si="6"/>
        <v>15.465367789960071</v>
      </c>
      <c r="AF12" s="8">
        <f t="shared" si="6"/>
        <v>26.088087073576563</v>
      </c>
    </row>
    <row r="13" spans="1:32">
      <c r="A13" s="51" t="s">
        <v>47</v>
      </c>
      <c r="B13" s="52">
        <v>1.0894010000000001</v>
      </c>
      <c r="C13" s="53">
        <v>22.973434999999998</v>
      </c>
      <c r="E13" s="99">
        <v>23</v>
      </c>
      <c r="F13" s="91">
        <f t="shared" si="3"/>
        <v>1.074219</v>
      </c>
      <c r="G13" s="87">
        <f t="shared" si="4"/>
        <v>22.391646999999999</v>
      </c>
      <c r="H13" s="99">
        <v>23</v>
      </c>
      <c r="I13" s="87">
        <f t="shared" ref="I13:I68" si="7">LINEST(M13:AF13,M$11:AF$11,FALSE)</f>
        <v>1.4529089887612952</v>
      </c>
      <c r="J13" s="91"/>
      <c r="K13" s="84" t="s">
        <v>102</v>
      </c>
      <c r="L13" s="95">
        <v>23</v>
      </c>
      <c r="M13" s="8">
        <f t="shared" si="5"/>
        <v>1.0268197026972412E-4</v>
      </c>
      <c r="N13" s="8">
        <f t="shared" si="5"/>
        <v>2.6891709186640443E-4</v>
      </c>
      <c r="O13" s="8">
        <f t="shared" si="5"/>
        <v>4.0330185184529483E-4</v>
      </c>
      <c r="P13" s="8">
        <f t="shared" si="5"/>
        <v>8.8651117069748434E-4</v>
      </c>
      <c r="Q13" s="8">
        <f t="shared" si="5"/>
        <v>1.9486695936940469E-3</v>
      </c>
      <c r="R13" s="8">
        <f t="shared" si="5"/>
        <v>3.6804183394146235E-3</v>
      </c>
      <c r="S13" s="8">
        <f t="shared" si="5"/>
        <v>5.5196176693324446E-3</v>
      </c>
      <c r="T13" s="8">
        <f t="shared" si="5"/>
        <v>1.2132854583864993E-2</v>
      </c>
      <c r="U13" s="8">
        <f t="shared" si="5"/>
        <v>2.6669629885980456E-2</v>
      </c>
      <c r="V13" s="8">
        <f t="shared" si="5"/>
        <v>5.037046570408682E-2</v>
      </c>
      <c r="W13" s="8">
        <f t="shared" si="6"/>
        <v>7.5541877817346725E-2</v>
      </c>
      <c r="X13" s="8">
        <f t="shared" si="6"/>
        <v>0.16605110597466732</v>
      </c>
      <c r="Y13" s="8">
        <f t="shared" si="6"/>
        <v>0.36500244092527034</v>
      </c>
      <c r="Z13" s="8">
        <f t="shared" si="6"/>
        <v>0.68937375625895059</v>
      </c>
      <c r="AA13" s="8">
        <f t="shared" si="6"/>
        <v>1.0338714827799129</v>
      </c>
      <c r="AB13" s="8">
        <f t="shared" si="6"/>
        <v>2.2725871809325322</v>
      </c>
      <c r="AC13" s="8">
        <f t="shared" si="6"/>
        <v>4.9954492226170473</v>
      </c>
      <c r="AD13" s="8">
        <f t="shared" si="6"/>
        <v>9.4348179866047381</v>
      </c>
      <c r="AE13" s="8">
        <f t="shared" si="6"/>
        <v>14.149638237614546</v>
      </c>
      <c r="AF13" s="8">
        <f t="shared" si="6"/>
        <v>24.136958366088873</v>
      </c>
    </row>
    <row r="14" spans="1:32">
      <c r="A14" s="51" t="s">
        <v>48</v>
      </c>
      <c r="B14" s="52">
        <v>1.0678700000000001</v>
      </c>
      <c r="C14" s="53">
        <v>22.694835000000001</v>
      </c>
      <c r="E14" s="99">
        <v>24</v>
      </c>
      <c r="F14" s="91">
        <f t="shared" si="3"/>
        <v>1.052937</v>
      </c>
      <c r="G14" s="87">
        <f t="shared" si="4"/>
        <v>22.577092</v>
      </c>
      <c r="H14" s="99">
        <v>24</v>
      </c>
      <c r="I14" s="87">
        <f t="shared" si="7"/>
        <v>2.4209487289866023</v>
      </c>
      <c r="J14" s="91"/>
      <c r="K14" s="84" t="s">
        <v>102</v>
      </c>
      <c r="L14" s="95">
        <v>24</v>
      </c>
      <c r="M14" s="8">
        <f t="shared" si="5"/>
        <v>2.1729896600347276E-4</v>
      </c>
      <c r="N14" s="8">
        <f t="shared" si="5"/>
        <v>5.5833925365778199E-4</v>
      </c>
      <c r="O14" s="8">
        <f t="shared" si="5"/>
        <v>8.3065923116978121E-4</v>
      </c>
      <c r="P14" s="8">
        <f t="shared" si="5"/>
        <v>1.7976297801860963E-3</v>
      </c>
      <c r="Q14" s="8">
        <f t="shared" si="5"/>
        <v>3.890250905971612E-3</v>
      </c>
      <c r="R14" s="8">
        <f t="shared" si="5"/>
        <v>7.2554681178807921E-3</v>
      </c>
      <c r="S14" s="8">
        <f t="shared" si="5"/>
        <v>1.0794192830063333E-2</v>
      </c>
      <c r="T14" s="8">
        <f t="shared" si="5"/>
        <v>2.3359714496963245E-2</v>
      </c>
      <c r="U14" s="8">
        <f t="shared" si="5"/>
        <v>5.0552762024025762E-2</v>
      </c>
      <c r="V14" s="8">
        <f t="shared" si="5"/>
        <v>9.428285270060939E-2</v>
      </c>
      <c r="W14" s="8">
        <f t="shared" si="6"/>
        <v>0.14026762657956349</v>
      </c>
      <c r="X14" s="8">
        <f t="shared" si="6"/>
        <v>0.30355319398588554</v>
      </c>
      <c r="Y14" s="8">
        <f t="shared" si="6"/>
        <v>0.65691951753931943</v>
      </c>
      <c r="Z14" s="8">
        <f t="shared" si="6"/>
        <v>1.2251802597626491</v>
      </c>
      <c r="AA14" s="8">
        <f t="shared" si="6"/>
        <v>1.8227400025193463</v>
      </c>
      <c r="AB14" s="8">
        <f t="shared" si="6"/>
        <v>3.9445919422949713</v>
      </c>
      <c r="AC14" s="8">
        <f t="shared" si="6"/>
        <v>8.5364920777028566</v>
      </c>
      <c r="AD14" s="8">
        <f t="shared" si="6"/>
        <v>15.920887265456752</v>
      </c>
      <c r="AE14" s="8">
        <f t="shared" si="6"/>
        <v>23.686015068485304</v>
      </c>
      <c r="AF14" s="8">
        <f t="shared" si="6"/>
        <v>39.979205422584812</v>
      </c>
    </row>
    <row r="15" spans="1:32">
      <c r="A15" s="51" t="s">
        <v>49</v>
      </c>
      <c r="B15" s="52">
        <v>1.068449</v>
      </c>
      <c r="C15" s="53">
        <v>22.581719</v>
      </c>
      <c r="E15" s="99">
        <v>25</v>
      </c>
      <c r="F15" s="91">
        <f t="shared" si="3"/>
        <v>1.0564009999999999</v>
      </c>
      <c r="G15" s="87">
        <f t="shared" si="4"/>
        <v>22.805972000000001</v>
      </c>
      <c r="H15" s="99">
        <v>25</v>
      </c>
      <c r="I15" s="87">
        <f t="shared" si="7"/>
        <v>2.9302187289490194</v>
      </c>
      <c r="J15" s="91"/>
      <c r="K15" s="84" t="s">
        <v>102</v>
      </c>
      <c r="L15" s="95">
        <v>25</v>
      </c>
      <c r="M15" s="8">
        <f t="shared" si="5"/>
        <v>2.529745898744602E-4</v>
      </c>
      <c r="N15" s="8">
        <f t="shared" si="5"/>
        <v>6.5202720175811446E-4</v>
      </c>
      <c r="O15" s="8">
        <f t="shared" si="5"/>
        <v>9.7131037604250526E-4</v>
      </c>
      <c r="P15" s="8">
        <f t="shared" si="5"/>
        <v>2.1073583733798736E-3</v>
      </c>
      <c r="Q15" s="8">
        <f t="shared" si="5"/>
        <v>4.5721320634383158E-3</v>
      </c>
      <c r="R15" s="8">
        <f t="shared" si="5"/>
        <v>8.5447057732858517E-3</v>
      </c>
      <c r="S15" s="8">
        <f t="shared" si="5"/>
        <v>1.2728857562144782E-2</v>
      </c>
      <c r="T15" s="8">
        <f t="shared" si="5"/>
        <v>2.7616573681049281E-2</v>
      </c>
      <c r="U15" s="8">
        <f t="shared" si="5"/>
        <v>5.9917014402690642E-2</v>
      </c>
      <c r="V15" s="8">
        <f t="shared" si="5"/>
        <v>0.11197691837879856</v>
      </c>
      <c r="W15" s="8">
        <f t="shared" si="6"/>
        <v>0.16680951715713935</v>
      </c>
      <c r="X15" s="8">
        <f t="shared" si="6"/>
        <v>0.36191050915445949</v>
      </c>
      <c r="Y15" s="8">
        <f t="shared" si="6"/>
        <v>0.78520230061605834</v>
      </c>
      <c r="Z15" s="8">
        <f t="shared" si="6"/>
        <v>1.4674385031271053</v>
      </c>
      <c r="AA15" s="8">
        <f t="shared" si="6"/>
        <v>2.1860104002538283</v>
      </c>
      <c r="AB15" s="8">
        <f t="shared" si="6"/>
        <v>4.7427757747630785</v>
      </c>
      <c r="AC15" s="8">
        <f t="shared" si="6"/>
        <v>10.289942832416333</v>
      </c>
      <c r="AD15" s="8">
        <f t="shared" si="6"/>
        <v>19.23053243147324</v>
      </c>
      <c r="AE15" s="8">
        <f t="shared" si="6"/>
        <v>28.647295139139374</v>
      </c>
      <c r="AF15" s="8">
        <f t="shared" si="6"/>
        <v>48.436605554164643</v>
      </c>
    </row>
    <row r="16" spans="1:32">
      <c r="A16" s="51" t="s">
        <v>50</v>
      </c>
      <c r="B16" s="52">
        <v>1.0562860000000001</v>
      </c>
      <c r="C16" s="53">
        <v>22.245239000000002</v>
      </c>
      <c r="E16" s="99">
        <v>26</v>
      </c>
      <c r="F16" s="91">
        <f t="shared" si="3"/>
        <v>1.043974</v>
      </c>
      <c r="G16" s="87">
        <f t="shared" si="4"/>
        <v>22.727813000000001</v>
      </c>
      <c r="H16" s="99">
        <v>26</v>
      </c>
      <c r="I16" s="87">
        <f t="shared" si="7"/>
        <v>3.2415104325714301</v>
      </c>
      <c r="J16" s="91"/>
      <c r="K16" s="84" t="s">
        <v>102</v>
      </c>
      <c r="L16" s="95">
        <v>26</v>
      </c>
      <c r="M16" s="8">
        <f t="shared" si="5"/>
        <v>3.2175890270670431E-4</v>
      </c>
      <c r="N16" s="8">
        <f t="shared" si="5"/>
        <v>8.2012935315619586E-4</v>
      </c>
      <c r="O16" s="8">
        <f t="shared" si="5"/>
        <v>1.2160137729438534E-3</v>
      </c>
      <c r="P16" s="8">
        <f t="shared" si="5"/>
        <v>2.6143386528273481E-3</v>
      </c>
      <c r="Q16" s="8">
        <f t="shared" si="5"/>
        <v>5.6206325485284765E-3</v>
      </c>
      <c r="R16" s="8">
        <f t="shared" si="5"/>
        <v>1.0427226848319241E-2</v>
      </c>
      <c r="S16" s="8">
        <f t="shared" si="5"/>
        <v>1.5460550719675678E-2</v>
      </c>
      <c r="T16" s="8">
        <f t="shared" si="5"/>
        <v>3.3239027583211483E-2</v>
      </c>
      <c r="U16" s="8">
        <f t="shared" si="5"/>
        <v>7.1461422992613419E-2</v>
      </c>
      <c r="V16" s="8">
        <f t="shared" si="5"/>
        <v>0.1325730621979124</v>
      </c>
      <c r="W16" s="8">
        <f t="shared" si="6"/>
        <v>0.1965673694443425</v>
      </c>
      <c r="X16" s="8">
        <f t="shared" si="6"/>
        <v>0.42260514087669626</v>
      </c>
      <c r="Y16" s="8">
        <f t="shared" si="6"/>
        <v>0.90856944161315101</v>
      </c>
      <c r="Z16" s="8">
        <f t="shared" si="6"/>
        <v>1.6855504417614764</v>
      </c>
      <c r="AA16" s="8">
        <f t="shared" si="6"/>
        <v>2.4991820427907325</v>
      </c>
      <c r="AB16" s="8">
        <f t="shared" si="6"/>
        <v>5.3730544507751441</v>
      </c>
      <c r="AC16" s="8">
        <f t="shared" si="6"/>
        <v>11.551665159516343</v>
      </c>
      <c r="AD16" s="8">
        <f t="shared" si="6"/>
        <v>21.430298468032433</v>
      </c>
      <c r="AE16" s="8">
        <f t="shared" si="6"/>
        <v>31.774912085681482</v>
      </c>
      <c r="AF16" s="8">
        <f t="shared" si="6"/>
        <v>53.393856739053575</v>
      </c>
    </row>
    <row r="17" spans="1:32">
      <c r="A17" s="51" t="s">
        <v>51</v>
      </c>
      <c r="B17" s="52">
        <v>1.0566720000000001</v>
      </c>
      <c r="C17" s="53">
        <v>22.340495000000001</v>
      </c>
      <c r="E17" s="100">
        <v>61</v>
      </c>
      <c r="F17" s="91">
        <f t="shared" si="3"/>
        <v>1.090309</v>
      </c>
      <c r="G17" s="87">
        <f t="shared" si="4"/>
        <v>24.170072999999999</v>
      </c>
      <c r="H17" s="100">
        <v>61</v>
      </c>
      <c r="I17" s="87">
        <f t="shared" si="7"/>
        <v>7.5162827374553558</v>
      </c>
      <c r="J17" s="91"/>
      <c r="K17" s="84" t="s">
        <v>102</v>
      </c>
      <c r="L17" s="72">
        <v>61</v>
      </c>
      <c r="M17" s="8">
        <f t="shared" si="5"/>
        <v>4.4334781222611744E-4</v>
      </c>
      <c r="N17" s="8">
        <f t="shared" si="5"/>
        <v>1.1779628178040366E-3</v>
      </c>
      <c r="O17" s="8">
        <f t="shared" si="5"/>
        <v>1.7773778116544432E-3</v>
      </c>
      <c r="P17" s="8">
        <f t="shared" si="5"/>
        <v>3.9532760918637132E-3</v>
      </c>
      <c r="Q17" s="8">
        <f t="shared" si="5"/>
        <v>8.7929486663017673E-3</v>
      </c>
      <c r="R17" s="8">
        <f t="shared" si="5"/>
        <v>1.6766017448038628E-2</v>
      </c>
      <c r="S17" s="8">
        <f t="shared" si="5"/>
        <v>2.5297528030220569E-2</v>
      </c>
      <c r="T17" s="8">
        <f t="shared" si="5"/>
        <v>5.6267222471980904E-2</v>
      </c>
      <c r="U17" s="8">
        <f t="shared" si="5"/>
        <v>0.12515058075750649</v>
      </c>
      <c r="V17" s="8">
        <f t="shared" si="5"/>
        <v>0.23863176054398932</v>
      </c>
      <c r="W17" s="8">
        <f t="shared" si="6"/>
        <v>0.36006127692349765</v>
      </c>
      <c r="X17" s="8">
        <f t="shared" si="6"/>
        <v>0.8008548482680895</v>
      </c>
      <c r="Y17" s="8">
        <f t="shared" si="6"/>
        <v>1.7812759357923789</v>
      </c>
      <c r="Z17" s="8">
        <f t="shared" si="6"/>
        <v>3.3964605677411934</v>
      </c>
      <c r="AA17" s="8">
        <f t="shared" si="6"/>
        <v>5.1247743647089532</v>
      </c>
      <c r="AB17" s="8">
        <f t="shared" si="6"/>
        <v>11.398616455857296</v>
      </c>
      <c r="AC17" s="8">
        <f t="shared" si="6"/>
        <v>25.353010271530266</v>
      </c>
      <c r="AD17" s="8">
        <f t="shared" si="6"/>
        <v>48.342032770169517</v>
      </c>
      <c r="AE17" s="8">
        <f t="shared" si="6"/>
        <v>72.941229652857359</v>
      </c>
      <c r="AF17" s="8">
        <f t="shared" si="6"/>
        <v>125.42505954109927</v>
      </c>
    </row>
    <row r="18" spans="1:32">
      <c r="A18" s="51" t="s">
        <v>52</v>
      </c>
      <c r="B18" s="52">
        <v>1.0738920000000001</v>
      </c>
      <c r="C18" s="53">
        <v>22.862261</v>
      </c>
      <c r="E18" s="100">
        <v>62</v>
      </c>
      <c r="F18" s="91">
        <f t="shared" si="3"/>
        <v>1.085402</v>
      </c>
      <c r="G18" s="87">
        <f t="shared" si="4"/>
        <v>23.865600000000001</v>
      </c>
      <c r="H18" s="100">
        <v>62</v>
      </c>
      <c r="I18" s="87">
        <f t="shared" si="7"/>
        <v>5.8561049169686257</v>
      </c>
      <c r="J18" s="91"/>
      <c r="K18" s="84" t="s">
        <v>102</v>
      </c>
      <c r="L18" s="72">
        <v>62</v>
      </c>
      <c r="M18" s="8">
        <f t="shared" si="5"/>
        <v>3.6500369754645276E-4</v>
      </c>
      <c r="N18" s="8">
        <f t="shared" si="5"/>
        <v>9.6554895395762166E-4</v>
      </c>
      <c r="O18" s="8">
        <f t="shared" si="5"/>
        <v>1.4541809567982674E-3</v>
      </c>
      <c r="P18" s="8">
        <f t="shared" si="5"/>
        <v>3.2227999813130479E-3</v>
      </c>
      <c r="Q18" s="8">
        <f t="shared" si="5"/>
        <v>7.1424671537576243E-3</v>
      </c>
      <c r="R18" s="8">
        <f t="shared" si="5"/>
        <v>1.3579448802044829E-2</v>
      </c>
      <c r="S18" s="8">
        <f t="shared" si="5"/>
        <v>2.0451553254561768E-2</v>
      </c>
      <c r="T18" s="8">
        <f t="shared" si="5"/>
        <v>4.5325353174576283E-2</v>
      </c>
      <c r="U18" s="8">
        <f t="shared" si="5"/>
        <v>0.10045142365613895</v>
      </c>
      <c r="V18" s="8">
        <f t="shared" si="5"/>
        <v>0.19098092231525615</v>
      </c>
      <c r="W18" s="8">
        <f t="shared" si="6"/>
        <v>0.28762997381363647</v>
      </c>
      <c r="X18" s="8">
        <f t="shared" si="6"/>
        <v>0.63745427960535617</v>
      </c>
      <c r="Y18" s="8">
        <f t="shared" si="6"/>
        <v>1.4127455257860735</v>
      </c>
      <c r="Z18" s="8">
        <f t="shared" si="6"/>
        <v>2.6859494240218074</v>
      </c>
      <c r="AA18" s="8">
        <f t="shared" si="6"/>
        <v>4.0452185125635971</v>
      </c>
      <c r="AB18" s="8">
        <f t="shared" si="6"/>
        <v>8.9651360690358413</v>
      </c>
      <c r="AC18" s="8">
        <f t="shared" si="6"/>
        <v>19.868806712592612</v>
      </c>
      <c r="AD18" s="8">
        <f t="shared" si="6"/>
        <v>37.775104554654064</v>
      </c>
      <c r="AE18" s="8">
        <f t="shared" si="6"/>
        <v>56.891820408778997</v>
      </c>
      <c r="AF18" s="8">
        <f t="shared" si="6"/>
        <v>97.589160871358089</v>
      </c>
    </row>
    <row r="19" spans="1:32">
      <c r="A19" s="51" t="s">
        <v>53</v>
      </c>
      <c r="B19" s="52">
        <v>1.0947370000000001</v>
      </c>
      <c r="C19" s="53">
        <v>23.356804</v>
      </c>
      <c r="E19" s="100">
        <v>71</v>
      </c>
      <c r="F19" s="91">
        <f t="shared" si="3"/>
        <v>1.1370229999999999</v>
      </c>
      <c r="G19" s="87">
        <f t="shared" si="4"/>
        <v>24.852544000000002</v>
      </c>
      <c r="H19" s="100">
        <v>71</v>
      </c>
      <c r="I19" s="87">
        <f t="shared" si="7"/>
        <v>7.7619573023598081</v>
      </c>
      <c r="J19" s="91"/>
      <c r="K19" s="84" t="s">
        <v>102</v>
      </c>
      <c r="L19" s="72">
        <v>71</v>
      </c>
      <c r="M19" s="8">
        <f t="shared" si="5"/>
        <v>2.7079620249477471E-4</v>
      </c>
      <c r="N19" s="8">
        <f t="shared" si="5"/>
        <v>7.5026093039064397E-4</v>
      </c>
      <c r="O19" s="8">
        <f t="shared" si="5"/>
        <v>1.1521648901171766E-3</v>
      </c>
      <c r="P19" s="8">
        <f t="shared" si="5"/>
        <v>2.6519586727784001E-3</v>
      </c>
      <c r="Q19" s="8">
        <f t="shared" si="5"/>
        <v>6.1040610267244994E-3</v>
      </c>
      <c r="R19" s="8">
        <f t="shared" si="5"/>
        <v>1.1965295374367175E-2</v>
      </c>
      <c r="S19" s="8">
        <f t="shared" si="5"/>
        <v>1.8374931536218088E-2</v>
      </c>
      <c r="T19" s="8">
        <f t="shared" si="5"/>
        <v>4.2293910765000692E-2</v>
      </c>
      <c r="U19" s="8">
        <f t="shared" si="5"/>
        <v>9.7348655926802918E-2</v>
      </c>
      <c r="V19" s="8">
        <f t="shared" si="5"/>
        <v>0.1908246685873779</v>
      </c>
      <c r="W19" s="8">
        <f t="shared" si="6"/>
        <v>0.29304669136928929</v>
      </c>
      <c r="X19" s="8">
        <f t="shared" si="6"/>
        <v>0.67451084594911437</v>
      </c>
      <c r="Y19" s="8">
        <f t="shared" si="6"/>
        <v>1.5525337589621633</v>
      </c>
      <c r="Z19" s="8">
        <f t="shared" si="6"/>
        <v>3.0433059111512875</v>
      </c>
      <c r="AA19" s="8">
        <f t="shared" si="6"/>
        <v>4.6735609954910977</v>
      </c>
      <c r="AB19" s="8">
        <f t="shared" si="6"/>
        <v>10.757219492681278</v>
      </c>
      <c r="AC19" s="8">
        <f t="shared" si="6"/>
        <v>24.760085794400204</v>
      </c>
      <c r="AD19" s="8">
        <f t="shared" si="6"/>
        <v>48.535186448430402</v>
      </c>
      <c r="AE19" s="8">
        <f t="shared" si="6"/>
        <v>74.534785827186695</v>
      </c>
      <c r="AF19" s="8">
        <f t="shared" si="6"/>
        <v>131.17660155447231</v>
      </c>
    </row>
    <row r="20" spans="1:32">
      <c r="A20" s="51" t="s">
        <v>54</v>
      </c>
      <c r="B20" s="52">
        <v>1.066535</v>
      </c>
      <c r="C20" s="53">
        <v>21.702729999999999</v>
      </c>
      <c r="E20" s="100">
        <v>72</v>
      </c>
      <c r="F20" s="91">
        <f t="shared" si="3"/>
        <v>1.1180570000000001</v>
      </c>
      <c r="G20" s="87">
        <f t="shared" si="4"/>
        <v>24.430558999999999</v>
      </c>
      <c r="H20" s="100">
        <v>72</v>
      </c>
      <c r="I20" s="87">
        <f t="shared" si="7"/>
        <v>6.5722499376863697</v>
      </c>
      <c r="J20" s="91"/>
      <c r="K20" s="84" t="s">
        <v>102</v>
      </c>
      <c r="L20" s="72">
        <v>72</v>
      </c>
      <c r="M20" s="8">
        <f t="shared" si="5"/>
        <v>2.8379429235444819E-4</v>
      </c>
      <c r="N20" s="8">
        <f t="shared" si="5"/>
        <v>7.7302079500090031E-4</v>
      </c>
      <c r="O20" s="8">
        <f t="shared" si="5"/>
        <v>1.1786527812786805E-3</v>
      </c>
      <c r="P20" s="8">
        <f t="shared" si="5"/>
        <v>2.6754622389507693E-3</v>
      </c>
      <c r="Q20" s="8">
        <f t="shared" si="5"/>
        <v>6.0731186535579532E-3</v>
      </c>
      <c r="R20" s="8">
        <f t="shared" si="5"/>
        <v>1.1771737415687288E-2</v>
      </c>
      <c r="S20" s="8">
        <f t="shared" si="5"/>
        <v>1.7948794049539214E-2</v>
      </c>
      <c r="T20" s="8">
        <f t="shared" si="5"/>
        <v>4.0742550712984119E-2</v>
      </c>
      <c r="U20" s="8">
        <f t="shared" si="5"/>
        <v>9.248283946088906E-2</v>
      </c>
      <c r="V20" s="8">
        <f t="shared" si="5"/>
        <v>0.17926270894657059</v>
      </c>
      <c r="W20" s="8">
        <f t="shared" si="6"/>
        <v>0.27332833973655363</v>
      </c>
      <c r="X20" s="8">
        <f t="shared" si="6"/>
        <v>0.62043687794714097</v>
      </c>
      <c r="Y20" s="8">
        <f t="shared" si="6"/>
        <v>1.4083498252973699</v>
      </c>
      <c r="Z20" s="8">
        <f t="shared" si="6"/>
        <v>2.72985351984142</v>
      </c>
      <c r="AA20" s="8">
        <f t="shared" si="6"/>
        <v>4.1623064533998093</v>
      </c>
      <c r="AB20" s="8">
        <f t="shared" si="6"/>
        <v>9.4481546388336337</v>
      </c>
      <c r="AC20" s="8">
        <f t="shared" si="6"/>
        <v>21.446673155552709</v>
      </c>
      <c r="AD20" s="8">
        <f t="shared" si="6"/>
        <v>41.570833574827333</v>
      </c>
      <c r="AE20" s="8">
        <f t="shared" si="6"/>
        <v>63.384554374098443</v>
      </c>
      <c r="AF20" s="8">
        <f t="shared" si="6"/>
        <v>110.50598858846799</v>
      </c>
    </row>
    <row r="21" spans="1:32">
      <c r="A21" s="51" t="s">
        <v>55</v>
      </c>
      <c r="B21" s="52">
        <v>1.0550889999999999</v>
      </c>
      <c r="C21" s="53">
        <v>22.360707999999999</v>
      </c>
      <c r="E21" s="100" t="s">
        <v>91</v>
      </c>
      <c r="F21" s="91">
        <f t="shared" si="3"/>
        <v>1.0587260000000001</v>
      </c>
      <c r="G21" s="87">
        <f t="shared" si="4"/>
        <v>23.138925</v>
      </c>
      <c r="H21" s="100" t="s">
        <v>91</v>
      </c>
      <c r="I21" s="87">
        <f t="shared" si="7"/>
        <v>4.0265572777679992</v>
      </c>
      <c r="J21" s="91"/>
      <c r="K21" s="84" t="s">
        <v>102</v>
      </c>
      <c r="L21" s="72" t="s">
        <v>91</v>
      </c>
      <c r="M21" s="8">
        <f t="shared" si="5"/>
        <v>3.3866497475311581E-4</v>
      </c>
      <c r="N21" s="8">
        <f t="shared" si="5"/>
        <v>8.7470995663828431E-4</v>
      </c>
      <c r="O21" s="8">
        <f t="shared" si="5"/>
        <v>1.3041794036471612E-3</v>
      </c>
      <c r="P21" s="8">
        <f t="shared" si="5"/>
        <v>2.834379742616396E-3</v>
      </c>
      <c r="Q21" s="8">
        <f t="shared" si="5"/>
        <v>6.1599719355234245E-3</v>
      </c>
      <c r="R21" s="8">
        <f t="shared" si="5"/>
        <v>1.1528021784892342E-2</v>
      </c>
      <c r="S21" s="8">
        <f t="shared" si="5"/>
        <v>1.7188107283509106E-2</v>
      </c>
      <c r="T21" s="8">
        <f t="shared" si="5"/>
        <v>3.7355001131022192E-2</v>
      </c>
      <c r="U21" s="8">
        <f t="shared" si="5"/>
        <v>8.1183814278228433E-2</v>
      </c>
      <c r="V21" s="8">
        <f t="shared" si="5"/>
        <v>0.15193068886937186</v>
      </c>
      <c r="W21" s="8">
        <f t="shared" si="6"/>
        <v>0.22652637448746665</v>
      </c>
      <c r="X21" s="8">
        <f t="shared" si="6"/>
        <v>0.49231092380394625</v>
      </c>
      <c r="Y21" s="8">
        <f t="shared" si="6"/>
        <v>1.0699418389804454</v>
      </c>
      <c r="Z21" s="8">
        <f t="shared" si="6"/>
        <v>2.002332633563586</v>
      </c>
      <c r="AA21" s="8">
        <f t="shared" si="6"/>
        <v>2.985447873464746</v>
      </c>
      <c r="AB21" s="8">
        <f t="shared" si="6"/>
        <v>6.4882890739738999</v>
      </c>
      <c r="AC21" s="8">
        <f t="shared" si="6"/>
        <v>14.101031701683205</v>
      </c>
      <c r="AD21" s="8">
        <f t="shared" si="6"/>
        <v>26.389243708891893</v>
      </c>
      <c r="AE21" s="8">
        <f t="shared" si="6"/>
        <v>39.345965896206486</v>
      </c>
      <c r="AF21" s="8">
        <f t="shared" si="6"/>
        <v>66.602768991278097</v>
      </c>
    </row>
    <row r="22" spans="1:32">
      <c r="A22" s="51" t="s">
        <v>56</v>
      </c>
      <c r="B22" s="52">
        <v>1.059226</v>
      </c>
      <c r="C22" s="53">
        <v>22.162794999999999</v>
      </c>
      <c r="E22" s="100" t="s">
        <v>86</v>
      </c>
      <c r="F22" s="91">
        <f t="shared" si="3"/>
        <v>1.079847</v>
      </c>
      <c r="G22" s="87">
        <f t="shared" si="4"/>
        <v>23.613475999999999</v>
      </c>
      <c r="H22" s="100" t="s">
        <v>86</v>
      </c>
      <c r="I22" s="87">
        <f t="shared" si="7"/>
        <v>4.868799785884967</v>
      </c>
      <c r="J22" s="91"/>
      <c r="K22" s="84" t="s">
        <v>102</v>
      </c>
      <c r="L22" s="72" t="s">
        <v>86</v>
      </c>
      <c r="M22" s="8">
        <f t="shared" ref="M22:V31" si="8">d1_s*EXP(d2_s*($F22*LN(M$10)+$G22))</f>
        <v>3.2301092960933031E-4</v>
      </c>
      <c r="N22" s="8">
        <f t="shared" si="8"/>
        <v>8.5022143139435184E-4</v>
      </c>
      <c r="O22" s="8">
        <f t="shared" si="8"/>
        <v>1.277809201801913E-3</v>
      </c>
      <c r="P22" s="8">
        <f t="shared" si="8"/>
        <v>2.8204089324710985E-3</v>
      </c>
      <c r="Q22" s="8">
        <f t="shared" si="8"/>
        <v>6.22526941827105E-3</v>
      </c>
      <c r="R22" s="8">
        <f t="shared" si="8"/>
        <v>1.1796793271284143E-2</v>
      </c>
      <c r="S22" s="8">
        <f t="shared" si="8"/>
        <v>1.7729558956283403E-2</v>
      </c>
      <c r="T22" s="8">
        <f t="shared" si="8"/>
        <v>3.9133077441107993E-2</v>
      </c>
      <c r="U22" s="8">
        <f t="shared" si="8"/>
        <v>8.6375400188340834E-2</v>
      </c>
      <c r="V22" s="8">
        <f t="shared" si="8"/>
        <v>0.16368010302585248</v>
      </c>
      <c r="W22" s="8">
        <f t="shared" ref="W22:AF31" si="9">d1_s*EXP(d2_s*($F22*LN(W$10)+$G22))</f>
        <v>0.24599702392271283</v>
      </c>
      <c r="X22" s="8">
        <f t="shared" si="9"/>
        <v>0.54297011060379219</v>
      </c>
      <c r="Y22" s="8">
        <f t="shared" si="9"/>
        <v>1.1984557223819039</v>
      </c>
      <c r="Z22" s="8">
        <f t="shared" si="9"/>
        <v>2.2710558293641641</v>
      </c>
      <c r="AA22" s="8">
        <f t="shared" si="9"/>
        <v>3.4132002904327994</v>
      </c>
      <c r="AB22" s="8">
        <f t="shared" si="9"/>
        <v>7.5336917075527321</v>
      </c>
      <c r="AC22" s="8">
        <f t="shared" si="9"/>
        <v>16.628532144315518</v>
      </c>
      <c r="AD22" s="8">
        <f t="shared" si="9"/>
        <v>31.510821930960578</v>
      </c>
      <c r="AE22" s="8">
        <f t="shared" si="9"/>
        <v>47.358037251177173</v>
      </c>
      <c r="AF22" s="8">
        <f t="shared" si="9"/>
        <v>81.011384550032204</v>
      </c>
    </row>
    <row r="23" spans="1:32">
      <c r="A23" s="51" t="s">
        <v>57</v>
      </c>
      <c r="B23" s="52">
        <v>1.06647</v>
      </c>
      <c r="C23" s="53">
        <v>22.106591999999999</v>
      </c>
      <c r="E23" s="100" t="s">
        <v>88</v>
      </c>
      <c r="F23" s="91">
        <f t="shared" si="3"/>
        <v>1.0661259999999999</v>
      </c>
      <c r="G23" s="87">
        <f t="shared" si="4"/>
        <v>23.280417</v>
      </c>
      <c r="H23" s="100" t="s">
        <v>88</v>
      </c>
      <c r="I23" s="87">
        <f t="shared" si="7"/>
        <v>4.1922780189723481</v>
      </c>
      <c r="J23" s="91"/>
      <c r="K23" s="84" t="s">
        <v>102</v>
      </c>
      <c r="L23" s="72" t="s">
        <v>88</v>
      </c>
      <c r="M23" s="8">
        <f t="shared" si="8"/>
        <v>3.2448083891184281E-4</v>
      </c>
      <c r="N23" s="8">
        <f t="shared" si="8"/>
        <v>8.4365169927760821E-4</v>
      </c>
      <c r="O23" s="8">
        <f t="shared" si="8"/>
        <v>1.2613887401981708E-3</v>
      </c>
      <c r="P23" s="8">
        <f t="shared" si="8"/>
        <v>2.7562966941215555E-3</v>
      </c>
      <c r="Q23" s="8">
        <f t="shared" si="8"/>
        <v>6.0228629160205506E-3</v>
      </c>
      <c r="R23" s="8">
        <f t="shared" si="8"/>
        <v>1.1320912060920308E-2</v>
      </c>
      <c r="S23" s="8">
        <f t="shared" si="8"/>
        <v>1.692650060996281E-2</v>
      </c>
      <c r="T23" s="8">
        <f t="shared" si="8"/>
        <v>3.698658168373798E-2</v>
      </c>
      <c r="U23" s="8">
        <f t="shared" si="8"/>
        <v>8.082043986354881E-2</v>
      </c>
      <c r="V23" s="8">
        <f t="shared" si="8"/>
        <v>0.15191464676813046</v>
      </c>
      <c r="W23" s="8">
        <f t="shared" si="9"/>
        <v>0.22713570667679936</v>
      </c>
      <c r="X23" s="8">
        <f t="shared" si="9"/>
        <v>0.49632074354165495</v>
      </c>
      <c r="Y23" s="8">
        <f t="shared" si="9"/>
        <v>1.0845246838281553</v>
      </c>
      <c r="Z23" s="8">
        <f t="shared" si="9"/>
        <v>2.0385336250734776</v>
      </c>
      <c r="AA23" s="8">
        <f t="shared" si="9"/>
        <v>3.0479205617494016</v>
      </c>
      <c r="AB23" s="8">
        <f t="shared" si="9"/>
        <v>6.6600985886199959</v>
      </c>
      <c r="AC23" s="8">
        <f t="shared" si="9"/>
        <v>14.553172338808817</v>
      </c>
      <c r="AD23" s="8">
        <f t="shared" si="9"/>
        <v>27.354961677250081</v>
      </c>
      <c r="AE23" s="8">
        <f t="shared" si="9"/>
        <v>40.899865048314908</v>
      </c>
      <c r="AF23" s="8">
        <f t="shared" si="9"/>
        <v>69.488302215300422</v>
      </c>
    </row>
    <row r="24" spans="1:32">
      <c r="A24" s="54" t="s">
        <v>58</v>
      </c>
      <c r="B24" s="55">
        <v>1.0245949999999999</v>
      </c>
      <c r="C24" s="56">
        <v>22.345970999999999</v>
      </c>
      <c r="E24" s="100" t="s">
        <v>82</v>
      </c>
      <c r="F24" s="91">
        <f t="shared" si="3"/>
        <v>1.0853680000000001</v>
      </c>
      <c r="G24" s="87">
        <f t="shared" si="4"/>
        <v>23.813355999999999</v>
      </c>
      <c r="H24" s="100" t="s">
        <v>82</v>
      </c>
      <c r="I24" s="87">
        <f t="shared" si="7"/>
        <v>5.5440464798144511</v>
      </c>
      <c r="J24" s="91"/>
      <c r="K24" s="84" t="s">
        <v>102</v>
      </c>
      <c r="L24" s="72" t="s">
        <v>82</v>
      </c>
      <c r="M24" s="8">
        <f t="shared" si="8"/>
        <v>3.4568552634034217E-4</v>
      </c>
      <c r="N24" s="8">
        <f t="shared" si="8"/>
        <v>9.1441848337353007E-4</v>
      </c>
      <c r="O24" s="8">
        <f t="shared" si="8"/>
        <v>1.3771574010339415E-3</v>
      </c>
      <c r="P24" s="8">
        <f t="shared" si="8"/>
        <v>3.0520219554791192E-3</v>
      </c>
      <c r="Q24" s="8">
        <f t="shared" si="8"/>
        <v>6.7638150945804974E-3</v>
      </c>
      <c r="R24" s="8">
        <f t="shared" si="8"/>
        <v>1.2859286610548182E-2</v>
      </c>
      <c r="S24" s="8">
        <f t="shared" si="8"/>
        <v>1.9366692657391448E-2</v>
      </c>
      <c r="T24" s="8">
        <f t="shared" si="8"/>
        <v>4.291998224095385E-2</v>
      </c>
      <c r="U24" s="8">
        <f t="shared" si="8"/>
        <v>9.5118196387587117E-2</v>
      </c>
      <c r="V24" s="8">
        <f t="shared" si="8"/>
        <v>0.18083760897107343</v>
      </c>
      <c r="W24" s="8">
        <f t="shared" si="9"/>
        <v>0.27234997553966089</v>
      </c>
      <c r="X24" s="8">
        <f t="shared" si="9"/>
        <v>0.60357523714950134</v>
      </c>
      <c r="Y24" s="8">
        <f t="shared" si="9"/>
        <v>1.33762841791415</v>
      </c>
      <c r="Z24" s="8">
        <f t="shared" si="9"/>
        <v>2.54308359466456</v>
      </c>
      <c r="AA24" s="8">
        <f t="shared" si="9"/>
        <v>3.8300039396837935</v>
      </c>
      <c r="AB24" s="8">
        <f t="shared" si="9"/>
        <v>8.4879594044300593</v>
      </c>
      <c r="AC24" s="8">
        <f t="shared" si="9"/>
        <v>18.81080437144422</v>
      </c>
      <c r="AD24" s="8">
        <f t="shared" si="9"/>
        <v>35.762882545557943</v>
      </c>
      <c r="AE24" s="8">
        <f t="shared" si="9"/>
        <v>53.860589298482118</v>
      </c>
      <c r="AF24" s="8">
        <f t="shared" si="9"/>
        <v>92.387988804512617</v>
      </c>
    </row>
    <row r="25" spans="1:32">
      <c r="A25" s="54" t="s">
        <v>59</v>
      </c>
      <c r="B25" s="55">
        <v>1.0848279999999999</v>
      </c>
      <c r="C25" s="56">
        <v>23.635577000000001</v>
      </c>
      <c r="E25" s="100" t="s">
        <v>84</v>
      </c>
      <c r="F25" s="91">
        <f t="shared" si="3"/>
        <v>1.0852090000000001</v>
      </c>
      <c r="G25" s="87">
        <f t="shared" si="4"/>
        <v>23.694054000000001</v>
      </c>
      <c r="H25" s="100" t="s">
        <v>84</v>
      </c>
      <c r="I25" s="87">
        <f t="shared" si="7"/>
        <v>4.8982540534892198</v>
      </c>
      <c r="J25" s="91"/>
      <c r="K25" s="84" t="s">
        <v>102</v>
      </c>
      <c r="L25" s="72" t="s">
        <v>84</v>
      </c>
      <c r="M25" s="8">
        <f t="shared" si="8"/>
        <v>3.0596486095870883E-4</v>
      </c>
      <c r="N25" s="8">
        <f t="shared" si="8"/>
        <v>8.0923277386918543E-4</v>
      </c>
      <c r="O25" s="8">
        <f t="shared" si="8"/>
        <v>1.2186696499231452E-3</v>
      </c>
      <c r="P25" s="8">
        <f t="shared" si="8"/>
        <v>2.7004705137504345E-3</v>
      </c>
      <c r="Q25" s="8">
        <f t="shared" si="8"/>
        <v>5.9840178969710646E-3</v>
      </c>
      <c r="R25" s="8">
        <f t="shared" si="8"/>
        <v>1.1375674523614722E-2</v>
      </c>
      <c r="S25" s="8">
        <f t="shared" si="8"/>
        <v>1.7131275125016457E-2</v>
      </c>
      <c r="T25" s="8">
        <f t="shared" si="8"/>
        <v>3.7961479832513058E-2</v>
      </c>
      <c r="U25" s="8">
        <f t="shared" si="8"/>
        <v>8.4119479756059143E-2</v>
      </c>
      <c r="V25" s="8">
        <f t="shared" si="8"/>
        <v>0.15991192527767828</v>
      </c>
      <c r="W25" s="8">
        <f t="shared" si="9"/>
        <v>0.24082046141668886</v>
      </c>
      <c r="X25" s="8">
        <f t="shared" si="9"/>
        <v>0.53363809889296687</v>
      </c>
      <c r="Y25" s="8">
        <f t="shared" si="9"/>
        <v>1.1824976121832329</v>
      </c>
      <c r="Z25" s="8">
        <f t="shared" si="9"/>
        <v>2.2479391259770396</v>
      </c>
      <c r="AA25" s="8">
        <f t="shared" si="9"/>
        <v>3.3852993553444826</v>
      </c>
      <c r="AB25" s="8">
        <f t="shared" si="9"/>
        <v>7.5015416112994124</v>
      </c>
      <c r="AC25" s="8">
        <f t="shared" si="9"/>
        <v>16.622791853611457</v>
      </c>
      <c r="AD25" s="8">
        <f t="shared" si="9"/>
        <v>31.600084267159929</v>
      </c>
      <c r="AE25" s="8">
        <f t="shared" si="9"/>
        <v>47.588363787187568</v>
      </c>
      <c r="AF25" s="8">
        <f t="shared" si="9"/>
        <v>81.622680892979375</v>
      </c>
    </row>
    <row r="26" spans="1:32">
      <c r="A26" s="54" t="s">
        <v>60</v>
      </c>
      <c r="B26" s="55">
        <v>1.0553729999999999</v>
      </c>
      <c r="C26" s="56">
        <v>22.956385000000001</v>
      </c>
      <c r="E26" s="100" t="s">
        <v>54</v>
      </c>
      <c r="F26" s="91">
        <f t="shared" si="3"/>
        <v>1.066535</v>
      </c>
      <c r="G26" s="87">
        <f t="shared" si="4"/>
        <v>21.702729999999999</v>
      </c>
      <c r="H26" s="100" t="s">
        <v>54</v>
      </c>
      <c r="I26" s="87">
        <f t="shared" si="7"/>
        <v>0.78534555445397825</v>
      </c>
      <c r="J26" s="91"/>
      <c r="K26" s="84" t="s">
        <v>102</v>
      </c>
      <c r="L26" s="72" t="s">
        <v>54</v>
      </c>
      <c r="M26" s="8">
        <f t="shared" si="8"/>
        <v>6.0506846677592057E-5</v>
      </c>
      <c r="N26" s="8">
        <f t="shared" si="8"/>
        <v>1.5737576238659593E-4</v>
      </c>
      <c r="O26" s="8">
        <f t="shared" si="8"/>
        <v>2.3533722405484292E-4</v>
      </c>
      <c r="P26" s="8">
        <f t="shared" si="8"/>
        <v>5.1439634594435939E-4</v>
      </c>
      <c r="Q26" s="8">
        <f t="shared" si="8"/>
        <v>1.1243593179260411E-3</v>
      </c>
      <c r="R26" s="8">
        <f t="shared" si="8"/>
        <v>2.1139207756300307E-3</v>
      </c>
      <c r="S26" s="8">
        <f t="shared" si="8"/>
        <v>3.1611236677383395E-3</v>
      </c>
      <c r="T26" s="8">
        <f t="shared" si="8"/>
        <v>6.9095336290016778E-3</v>
      </c>
      <c r="U26" s="8">
        <f t="shared" si="8"/>
        <v>1.5102748259280338E-2</v>
      </c>
      <c r="V26" s="8">
        <f t="shared" si="8"/>
        <v>2.8394849231376262E-2</v>
      </c>
      <c r="W26" s="8">
        <f t="shared" si="9"/>
        <v>4.2461208093483756E-2</v>
      </c>
      <c r="X26" s="8">
        <f t="shared" si="9"/>
        <v>9.2811030534553959E-2</v>
      </c>
      <c r="Y26" s="8">
        <f t="shared" si="9"/>
        <v>0.20286486832690445</v>
      </c>
      <c r="Z26" s="8">
        <f t="shared" si="9"/>
        <v>0.38140855237694044</v>
      </c>
      <c r="AA26" s="8">
        <f t="shared" si="9"/>
        <v>0.57035231210934378</v>
      </c>
      <c r="AB26" s="8">
        <f t="shared" si="9"/>
        <v>1.2466669751385928</v>
      </c>
      <c r="AC26" s="8">
        <f t="shared" si="9"/>
        <v>2.7249447646724843</v>
      </c>
      <c r="AD26" s="8">
        <f t="shared" si="9"/>
        <v>5.1231997268549163</v>
      </c>
      <c r="AE26" s="8">
        <f t="shared" si="9"/>
        <v>7.6611517791081285</v>
      </c>
      <c r="AF26" s="8">
        <f t="shared" si="9"/>
        <v>13.01883732715102</v>
      </c>
    </row>
    <row r="27" spans="1:32">
      <c r="A27" s="54" t="s">
        <v>61</v>
      </c>
      <c r="B27" s="55">
        <v>1.0718259999999999</v>
      </c>
      <c r="C27" s="56">
        <v>23.250011000000001</v>
      </c>
      <c r="E27" s="100" t="s">
        <v>56</v>
      </c>
      <c r="F27" s="91">
        <f t="shared" si="3"/>
        <v>1.059226</v>
      </c>
      <c r="G27" s="87">
        <f t="shared" si="4"/>
        <v>22.162794999999999</v>
      </c>
      <c r="H27" s="100" t="s">
        <v>56</v>
      </c>
      <c r="I27" s="87">
        <f t="shared" si="7"/>
        <v>1.4233325698660781</v>
      </c>
      <c r="J27" s="91"/>
      <c r="K27" s="84" t="s">
        <v>102</v>
      </c>
      <c r="L27" s="72" t="s">
        <v>56</v>
      </c>
      <c r="M27" s="8">
        <f t="shared" si="8"/>
        <v>1.1904301594819867E-4</v>
      </c>
      <c r="N27" s="8">
        <f t="shared" si="8"/>
        <v>3.0760424562406986E-4</v>
      </c>
      <c r="O27" s="8">
        <f t="shared" si="8"/>
        <v>4.5871983368331223E-4</v>
      </c>
      <c r="P27" s="8">
        <f t="shared" si="8"/>
        <v>9.9730369205544198E-4</v>
      </c>
      <c r="Q27" s="8">
        <f t="shared" si="8"/>
        <v>2.1682399171649388E-3</v>
      </c>
      <c r="R27" s="8">
        <f t="shared" si="8"/>
        <v>4.0589334421669487E-3</v>
      </c>
      <c r="S27" s="8">
        <f t="shared" si="8"/>
        <v>6.0529505038040025E-3</v>
      </c>
      <c r="T27" s="8">
        <f t="shared" si="8"/>
        <v>1.3159731587799853E-2</v>
      </c>
      <c r="U27" s="8">
        <f t="shared" si="8"/>
        <v>2.8610598311369487E-2</v>
      </c>
      <c r="V27" s="8">
        <f t="shared" si="8"/>
        <v>5.3558885881164441E-2</v>
      </c>
      <c r="W27" s="8">
        <f t="shared" si="9"/>
        <v>7.9870559568599092E-2</v>
      </c>
      <c r="X27" s="8">
        <f t="shared" si="9"/>
        <v>0.17364674054902554</v>
      </c>
      <c r="Y27" s="8">
        <f t="shared" si="9"/>
        <v>0.37752571994193368</v>
      </c>
      <c r="Z27" s="8">
        <f t="shared" si="9"/>
        <v>0.70672611357237636</v>
      </c>
      <c r="AA27" s="8">
        <f t="shared" si="9"/>
        <v>1.0539168099577312</v>
      </c>
      <c r="AB27" s="8">
        <f t="shared" si="9"/>
        <v>2.2913226080731821</v>
      </c>
      <c r="AC27" s="8">
        <f t="shared" si="9"/>
        <v>4.981568985959945</v>
      </c>
      <c r="AD27" s="8">
        <f t="shared" si="9"/>
        <v>9.325470300359008</v>
      </c>
      <c r="AE27" s="8">
        <f t="shared" si="9"/>
        <v>13.906759240336763</v>
      </c>
      <c r="AF27" s="8">
        <f t="shared" si="9"/>
        <v>23.546478552584432</v>
      </c>
    </row>
    <row r="28" spans="1:32">
      <c r="A28" s="54" t="s">
        <v>62</v>
      </c>
      <c r="B28" s="55">
        <v>1.0970260000000001</v>
      </c>
      <c r="C28" s="56">
        <v>23.695018000000001</v>
      </c>
      <c r="E28" s="100" t="s">
        <v>50</v>
      </c>
      <c r="F28" s="91">
        <f t="shared" si="3"/>
        <v>1.0562860000000001</v>
      </c>
      <c r="G28" s="87">
        <f t="shared" si="4"/>
        <v>22.245239000000002</v>
      </c>
      <c r="H28" s="100" t="s">
        <v>50</v>
      </c>
      <c r="I28" s="87">
        <f t="shared" si="7"/>
        <v>1.6219816581740296</v>
      </c>
      <c r="J28" s="91"/>
      <c r="K28" s="84" t="s">
        <v>102</v>
      </c>
      <c r="L28" s="72" t="s">
        <v>50</v>
      </c>
      <c r="M28" s="8">
        <f t="shared" si="8"/>
        <v>1.4021152513301932E-4</v>
      </c>
      <c r="N28" s="8">
        <f t="shared" si="8"/>
        <v>3.6134975538815623E-4</v>
      </c>
      <c r="O28" s="8">
        <f t="shared" si="8"/>
        <v>5.3827131442126105E-4</v>
      </c>
      <c r="P28" s="8">
        <f t="shared" si="8"/>
        <v>1.167736853435379E-3</v>
      </c>
      <c r="Q28" s="8">
        <f t="shared" si="8"/>
        <v>2.5333123321596494E-3</v>
      </c>
      <c r="R28" s="8">
        <f t="shared" si="8"/>
        <v>4.7341010073911225E-3</v>
      </c>
      <c r="S28" s="8">
        <f t="shared" si="8"/>
        <v>7.0519786822995801E-3</v>
      </c>
      <c r="T28" s="8">
        <f t="shared" si="8"/>
        <v>1.5298707503697849E-2</v>
      </c>
      <c r="U28" s="8">
        <f t="shared" si="8"/>
        <v>3.3189330516719753E-2</v>
      </c>
      <c r="V28" s="8">
        <f t="shared" si="8"/>
        <v>6.2022215357825101E-2</v>
      </c>
      <c r="W28" s="8">
        <f t="shared" si="9"/>
        <v>9.2389101932872877E-2</v>
      </c>
      <c r="X28" s="8">
        <f t="shared" si="9"/>
        <v>0.20043081675049129</v>
      </c>
      <c r="Y28" s="8">
        <f t="shared" si="9"/>
        <v>0.43481873362571499</v>
      </c>
      <c r="Z28" s="8">
        <f t="shared" si="9"/>
        <v>0.81256297486823781</v>
      </c>
      <c r="AA28" s="8">
        <f t="shared" si="9"/>
        <v>1.2104044184630767</v>
      </c>
      <c r="AB28" s="8">
        <f t="shared" si="9"/>
        <v>2.6258762247437417</v>
      </c>
      <c r="AC28" s="8">
        <f t="shared" si="9"/>
        <v>5.6966298556888511</v>
      </c>
      <c r="AD28" s="8">
        <f t="shared" si="9"/>
        <v>10.645517647466841</v>
      </c>
      <c r="AE28" s="8">
        <f t="shared" si="9"/>
        <v>15.857702105378326</v>
      </c>
      <c r="AF28" s="8">
        <f t="shared" si="9"/>
        <v>26.810536394051901</v>
      </c>
    </row>
    <row r="29" spans="1:32">
      <c r="A29" s="54" t="s">
        <v>63</v>
      </c>
      <c r="B29" s="55">
        <v>1.103289</v>
      </c>
      <c r="C29" s="56">
        <v>23.739830999999999</v>
      </c>
      <c r="E29" s="100" t="s">
        <v>52</v>
      </c>
      <c r="F29" s="91">
        <f t="shared" si="3"/>
        <v>1.0738920000000001</v>
      </c>
      <c r="G29" s="87">
        <f t="shared" si="4"/>
        <v>22.862261</v>
      </c>
      <c r="H29" s="100" t="s">
        <v>52</v>
      </c>
      <c r="I29" s="87">
        <f t="shared" si="7"/>
        <v>2.4017573255264959</v>
      </c>
      <c r="J29" s="91"/>
      <c r="K29" s="84" t="s">
        <v>102</v>
      </c>
      <c r="L29" s="72" t="s">
        <v>52</v>
      </c>
      <c r="M29" s="8">
        <f t="shared" si="8"/>
        <v>1.7036498663784968E-4</v>
      </c>
      <c r="N29" s="8">
        <f t="shared" si="8"/>
        <v>4.460435628844363E-4</v>
      </c>
      <c r="O29" s="8">
        <f t="shared" si="8"/>
        <v>6.6886043514836988E-4</v>
      </c>
      <c r="P29" s="8">
        <f t="shared" si="8"/>
        <v>1.4698918421573266E-3</v>
      </c>
      <c r="Q29" s="8">
        <f t="shared" si="8"/>
        <v>3.2302434321165798E-3</v>
      </c>
      <c r="R29" s="8">
        <f t="shared" si="8"/>
        <v>6.0997237232563789E-3</v>
      </c>
      <c r="S29" s="8">
        <f t="shared" si="8"/>
        <v>9.1467834160385217E-3</v>
      </c>
      <c r="T29" s="8">
        <f t="shared" si="8"/>
        <v>2.0101027985356255E-2</v>
      </c>
      <c r="U29" s="8">
        <f t="shared" si="8"/>
        <v>4.4174143815364532E-2</v>
      </c>
      <c r="V29" s="8">
        <f t="shared" si="8"/>
        <v>8.3414788590271363E-2</v>
      </c>
      <c r="W29" s="8">
        <f t="shared" si="9"/>
        <v>0.1250838627364147</v>
      </c>
      <c r="X29" s="8">
        <f t="shared" si="9"/>
        <v>0.27488507281941238</v>
      </c>
      <c r="Y29" s="8">
        <f t="shared" si="9"/>
        <v>0.60408914152389381</v>
      </c>
      <c r="Z29" s="8">
        <f t="shared" si="9"/>
        <v>1.140711820935572</v>
      </c>
      <c r="AA29" s="8">
        <f t="shared" si="9"/>
        <v>1.7105436966647369</v>
      </c>
      <c r="AB29" s="8">
        <f t="shared" si="9"/>
        <v>3.7591014406815746</v>
      </c>
      <c r="AC29" s="8">
        <f t="shared" si="9"/>
        <v>8.2610246489972337</v>
      </c>
      <c r="AD29" s="8">
        <f t="shared" si="9"/>
        <v>15.599433630572133</v>
      </c>
      <c r="AE29" s="8">
        <f t="shared" si="9"/>
        <v>23.391984179168265</v>
      </c>
      <c r="AF29" s="8">
        <f t="shared" si="9"/>
        <v>39.896395739205516</v>
      </c>
    </row>
    <row r="30" spans="1:32">
      <c r="A30" s="54" t="s">
        <v>64</v>
      </c>
      <c r="B30" s="55">
        <v>1.1106670000000001</v>
      </c>
      <c r="C30" s="56">
        <v>23.879618000000001</v>
      </c>
      <c r="E30" s="100" t="s">
        <v>46</v>
      </c>
      <c r="F30" s="91">
        <f t="shared" si="3"/>
        <v>1.0721130000000001</v>
      </c>
      <c r="G30" s="87">
        <f t="shared" si="4"/>
        <v>22.896017000000001</v>
      </c>
      <c r="H30" s="100" t="s">
        <v>46</v>
      </c>
      <c r="I30" s="87">
        <f t="shared" si="7"/>
        <v>2.5553459226322017</v>
      </c>
      <c r="J30" s="91"/>
      <c r="K30" s="84" t="s">
        <v>102</v>
      </c>
      <c r="L30" s="72" t="s">
        <v>46</v>
      </c>
      <c r="M30" s="8">
        <f t="shared" si="8"/>
        <v>1.8491856890829532E-4</v>
      </c>
      <c r="N30" s="8">
        <f t="shared" si="8"/>
        <v>4.8337591413669844E-4</v>
      </c>
      <c r="O30" s="8">
        <f t="shared" si="8"/>
        <v>7.2435547391387384E-4</v>
      </c>
      <c r="P30" s="8">
        <f t="shared" si="8"/>
        <v>1.5897731133367873E-3</v>
      </c>
      <c r="Q30" s="8">
        <f t="shared" si="8"/>
        <v>3.4891412336991016E-3</v>
      </c>
      <c r="R30" s="8">
        <f t="shared" si="8"/>
        <v>6.5816702323200265E-3</v>
      </c>
      <c r="S30" s="8">
        <f t="shared" si="8"/>
        <v>9.8628597761054124E-3</v>
      </c>
      <c r="T30" s="8">
        <f t="shared" si="8"/>
        <v>2.164642893901509E-2</v>
      </c>
      <c r="U30" s="8">
        <f t="shared" si="8"/>
        <v>4.750831872790319E-2</v>
      </c>
      <c r="V30" s="8">
        <f t="shared" si="8"/>
        <v>8.9616345746919679E-2</v>
      </c>
      <c r="W30" s="8">
        <f t="shared" si="9"/>
        <v>0.13429318403229673</v>
      </c>
      <c r="X30" s="8">
        <f t="shared" si="9"/>
        <v>0.29473884158749497</v>
      </c>
      <c r="Y30" s="8">
        <f t="shared" si="9"/>
        <v>0.64687560553665835</v>
      </c>
      <c r="Z30" s="8">
        <f t="shared" si="9"/>
        <v>1.2202205734334555</v>
      </c>
      <c r="AA30" s="8">
        <f t="shared" si="9"/>
        <v>1.8285426019362785</v>
      </c>
      <c r="AB30" s="8">
        <f t="shared" si="9"/>
        <v>4.0131785702427623</v>
      </c>
      <c r="AC30" s="8">
        <f t="shared" si="9"/>
        <v>8.8078900757363883</v>
      </c>
      <c r="AD30" s="8">
        <f t="shared" si="9"/>
        <v>16.61458337115295</v>
      </c>
      <c r="AE30" s="8">
        <f t="shared" si="9"/>
        <v>24.897526044894306</v>
      </c>
      <c r="AF30" s="8">
        <f t="shared" si="9"/>
        <v>42.426644861380588</v>
      </c>
    </row>
    <row r="31" spans="1:32">
      <c r="A31" s="54" t="s">
        <v>65</v>
      </c>
      <c r="B31" s="55">
        <v>1.1050979999999999</v>
      </c>
      <c r="C31" s="56">
        <v>23.767949999999999</v>
      </c>
      <c r="E31" s="100" t="s">
        <v>48</v>
      </c>
      <c r="F31" s="91">
        <f t="shared" si="3"/>
        <v>1.0678700000000001</v>
      </c>
      <c r="G31" s="87">
        <f t="shared" si="4"/>
        <v>22.694835000000001</v>
      </c>
      <c r="H31" s="100" t="s">
        <v>48</v>
      </c>
      <c r="I31" s="87">
        <f t="shared" si="7"/>
        <v>2.199139777415116</v>
      </c>
      <c r="J31" s="91"/>
      <c r="K31" s="84" t="s">
        <v>102</v>
      </c>
      <c r="L31" s="72" t="s">
        <v>48</v>
      </c>
      <c r="M31" s="8">
        <f t="shared" si="8"/>
        <v>1.6691057537956998E-4</v>
      </c>
      <c r="N31" s="8">
        <f t="shared" si="8"/>
        <v>4.3464712419521284E-4</v>
      </c>
      <c r="O31" s="8">
        <f t="shared" si="8"/>
        <v>6.5029187964892141E-4</v>
      </c>
      <c r="P31" s="8">
        <f t="shared" si="8"/>
        <v>1.4227895657915168E-3</v>
      </c>
      <c r="Q31" s="8">
        <f t="shared" si="8"/>
        <v>3.1129562153199885E-3</v>
      </c>
      <c r="R31" s="8">
        <f t="shared" si="8"/>
        <v>5.8573313947855327E-3</v>
      </c>
      <c r="S31" s="8">
        <f t="shared" si="8"/>
        <v>8.763373390527714E-3</v>
      </c>
      <c r="T31" s="8">
        <f t="shared" si="8"/>
        <v>1.9173599750175793E-2</v>
      </c>
      <c r="U31" s="8">
        <f t="shared" si="8"/>
        <v>4.1950389535758983E-2</v>
      </c>
      <c r="V31" s="8">
        <f t="shared" si="8"/>
        <v>7.8933758349063299E-2</v>
      </c>
      <c r="W31" s="8">
        <f t="shared" si="9"/>
        <v>0.1180957591278393</v>
      </c>
      <c r="X31" s="8">
        <f t="shared" si="9"/>
        <v>0.25838461021846476</v>
      </c>
      <c r="Y31" s="8">
        <f t="shared" si="9"/>
        <v>0.56532603110224156</v>
      </c>
      <c r="Z31" s="8">
        <f t="shared" si="9"/>
        <v>1.0637161852674168</v>
      </c>
      <c r="AA31" s="8">
        <f t="shared" si="9"/>
        <v>1.5914657178770419</v>
      </c>
      <c r="AB31" s="8">
        <f t="shared" si="9"/>
        <v>3.4820069088558006</v>
      </c>
      <c r="AC31" s="8">
        <f t="shared" si="9"/>
        <v>7.618368386529248</v>
      </c>
      <c r="AD31" s="8">
        <f t="shared" si="9"/>
        <v>14.334704776074888</v>
      </c>
      <c r="AE31" s="8">
        <f t="shared" si="9"/>
        <v>21.446689956378084</v>
      </c>
      <c r="AF31" s="8">
        <f t="shared" si="9"/>
        <v>36.469234756932849</v>
      </c>
    </row>
    <row r="32" spans="1:32">
      <c r="A32" s="54" t="s">
        <v>66</v>
      </c>
      <c r="B32" s="55">
        <v>1.049345</v>
      </c>
      <c r="C32" s="56">
        <v>22.790893000000001</v>
      </c>
      <c r="E32" s="100" t="s">
        <v>66</v>
      </c>
      <c r="F32" s="91">
        <f t="shared" si="3"/>
        <v>1.049345</v>
      </c>
      <c r="G32" s="87">
        <f t="shared" si="4"/>
        <v>22.790893000000001</v>
      </c>
      <c r="H32" s="100" t="s">
        <v>66</v>
      </c>
      <c r="I32" s="87">
        <f t="shared" si="7"/>
        <v>3.2007698798101711</v>
      </c>
      <c r="J32" s="91"/>
      <c r="K32" s="84" t="s">
        <v>102</v>
      </c>
      <c r="L32" s="72" t="s">
        <v>66</v>
      </c>
      <c r="M32" s="8">
        <f t="shared" ref="M32:V41" si="10">d1_s*EXP(d2_s*($F32*LN(M$10)+$G32))</f>
        <v>2.9911964998794382E-4</v>
      </c>
      <c r="N32" s="8">
        <f t="shared" si="10"/>
        <v>7.6610326251557955E-4</v>
      </c>
      <c r="O32" s="8">
        <f t="shared" si="10"/>
        <v>1.1382128734378737E-3</v>
      </c>
      <c r="P32" s="8">
        <f t="shared" si="10"/>
        <v>2.4567280419351273E-3</v>
      </c>
      <c r="Q32" s="8">
        <f t="shared" si="10"/>
        <v>5.3026220427473143E-3</v>
      </c>
      <c r="R32" s="8">
        <f t="shared" si="10"/>
        <v>9.8685892045634691E-3</v>
      </c>
      <c r="S32" s="8">
        <f t="shared" si="10"/>
        <v>1.4661933743006009E-2</v>
      </c>
      <c r="T32" s="8">
        <f t="shared" si="10"/>
        <v>3.164643856701551E-2</v>
      </c>
      <c r="U32" s="8">
        <f t="shared" si="10"/>
        <v>6.8305933687199838E-2</v>
      </c>
      <c r="V32" s="8">
        <f t="shared" si="10"/>
        <v>0.12712261865148519</v>
      </c>
      <c r="W32" s="8">
        <f t="shared" ref="W32:AF41" si="11">d1_s*EXP(d2_s*($F32*LN(W$10)+$G32))</f>
        <v>0.18886827420515198</v>
      </c>
      <c r="X32" s="8">
        <f t="shared" si="11"/>
        <v>0.40765483882661357</v>
      </c>
      <c r="Y32" s="8">
        <f t="shared" si="11"/>
        <v>0.87988556213650138</v>
      </c>
      <c r="Z32" s="8">
        <f t="shared" si="11"/>
        <v>1.6375349949046558</v>
      </c>
      <c r="AA32" s="8">
        <f t="shared" si="11"/>
        <v>2.4329140771249489</v>
      </c>
      <c r="AB32" s="8">
        <f t="shared" si="11"/>
        <v>5.2512217849360336</v>
      </c>
      <c r="AC32" s="8">
        <f t="shared" si="11"/>
        <v>11.334280356983852</v>
      </c>
      <c r="AD32" s="8">
        <f t="shared" si="11"/>
        <v>21.093971222296389</v>
      </c>
      <c r="AE32" s="8">
        <f t="shared" si="11"/>
        <v>31.339678045892086</v>
      </c>
      <c r="AF32" s="8">
        <f t="shared" si="11"/>
        <v>52.803307941940233</v>
      </c>
    </row>
    <row r="33" spans="1:32">
      <c r="A33" s="54" t="s">
        <v>67</v>
      </c>
      <c r="B33" s="55">
        <v>1.10171</v>
      </c>
      <c r="C33" s="56">
        <v>23.825023000000002</v>
      </c>
      <c r="E33" s="100" t="s">
        <v>68</v>
      </c>
      <c r="F33" s="91">
        <f t="shared" si="3"/>
        <v>1.0718080000000001</v>
      </c>
      <c r="G33" s="87">
        <f t="shared" si="4"/>
        <v>23.106933999999999</v>
      </c>
      <c r="H33" s="100" t="s">
        <v>68</v>
      </c>
      <c r="I33" s="87">
        <f t="shared" si="7"/>
        <v>3.2084740793735449</v>
      </c>
      <c r="J33" s="91"/>
      <c r="K33" s="84" t="s">
        <v>102</v>
      </c>
      <c r="L33" s="72" t="s">
        <v>68</v>
      </c>
      <c r="M33" s="8">
        <f t="shared" si="10"/>
        <v>2.3297933637567495E-4</v>
      </c>
      <c r="N33" s="8">
        <f t="shared" si="10"/>
        <v>6.0883998933334129E-4</v>
      </c>
      <c r="O33" s="8">
        <f t="shared" si="10"/>
        <v>9.1226273584805594E-4</v>
      </c>
      <c r="P33" s="8">
        <f t="shared" si="10"/>
        <v>2.0017333190464519E-3</v>
      </c>
      <c r="Q33" s="8">
        <f t="shared" si="10"/>
        <v>4.3923051146617523E-3</v>
      </c>
      <c r="R33" s="8">
        <f t="shared" si="10"/>
        <v>8.2838392260392787E-3</v>
      </c>
      <c r="S33" s="8">
        <f t="shared" si="10"/>
        <v>1.2412190342403031E-2</v>
      </c>
      <c r="T33" s="8">
        <f t="shared" si="10"/>
        <v>2.7235459692034371E-2</v>
      </c>
      <c r="U33" s="8">
        <f t="shared" si="10"/>
        <v>5.9761431638891811E-2</v>
      </c>
      <c r="V33" s="8">
        <f t="shared" si="10"/>
        <v>0.11270940398971858</v>
      </c>
      <c r="W33" s="8">
        <f t="shared" si="11"/>
        <v>0.1688794938585573</v>
      </c>
      <c r="X33" s="8">
        <f t="shared" si="11"/>
        <v>0.37056397951640224</v>
      </c>
      <c r="Y33" s="8">
        <f t="shared" si="11"/>
        <v>0.8131103414487999</v>
      </c>
      <c r="Z33" s="8">
        <f t="shared" si="11"/>
        <v>1.5335171773717995</v>
      </c>
      <c r="AA33" s="8">
        <f t="shared" si="11"/>
        <v>2.2977639448929854</v>
      </c>
      <c r="AB33" s="8">
        <f t="shared" si="11"/>
        <v>5.0418705785676217</v>
      </c>
      <c r="AC33" s="8">
        <f t="shared" si="11"/>
        <v>11.063128998749148</v>
      </c>
      <c r="AD33" s="8">
        <f t="shared" si="11"/>
        <v>20.864939836864803</v>
      </c>
      <c r="AE33" s="8">
        <f t="shared" si="11"/>
        <v>31.263234071936093</v>
      </c>
      <c r="AF33" s="8">
        <f t="shared" si="11"/>
        <v>53.266056121645711</v>
      </c>
    </row>
    <row r="34" spans="1:32">
      <c r="A34" s="54" t="s">
        <v>68</v>
      </c>
      <c r="B34" s="55">
        <v>1.0718080000000001</v>
      </c>
      <c r="C34" s="56">
        <v>23.106933999999999</v>
      </c>
      <c r="E34" s="100" t="s">
        <v>62</v>
      </c>
      <c r="F34" s="91">
        <f t="shared" si="3"/>
        <v>1.0970260000000001</v>
      </c>
      <c r="G34" s="87">
        <f t="shared" si="4"/>
        <v>23.695018000000001</v>
      </c>
      <c r="H34" s="100" t="s">
        <v>62</v>
      </c>
      <c r="I34" s="87">
        <f t="shared" si="7"/>
        <v>4.1180085080922826</v>
      </c>
      <c r="J34" s="91"/>
      <c r="K34" s="84" t="s">
        <v>102</v>
      </c>
      <c r="L34" s="72" t="s">
        <v>62</v>
      </c>
      <c r="M34" s="8">
        <f t="shared" si="10"/>
        <v>2.2523995487581239E-4</v>
      </c>
      <c r="N34" s="8">
        <f t="shared" si="10"/>
        <v>6.0206993295006583E-4</v>
      </c>
      <c r="O34" s="8">
        <f t="shared" si="10"/>
        <v>9.1074269858102579E-4</v>
      </c>
      <c r="P34" s="8">
        <f t="shared" si="10"/>
        <v>2.0356913182090824E-3</v>
      </c>
      <c r="Q34" s="8">
        <f t="shared" si="10"/>
        <v>4.5501755320009104E-3</v>
      </c>
      <c r="R34" s="8">
        <f t="shared" si="10"/>
        <v>8.7106452174576191E-3</v>
      </c>
      <c r="S34" s="8">
        <f t="shared" si="10"/>
        <v>1.3176470203150378E-2</v>
      </c>
      <c r="T34" s="8">
        <f t="shared" si="10"/>
        <v>2.94520351785258E-2</v>
      </c>
      <c r="U34" s="8">
        <f t="shared" si="10"/>
        <v>6.5831164400139197E-2</v>
      </c>
      <c r="V34" s="8">
        <f t="shared" si="10"/>
        <v>0.12602413100524407</v>
      </c>
      <c r="W34" s="8">
        <f t="shared" si="11"/>
        <v>0.19063492607189181</v>
      </c>
      <c r="X34" s="8">
        <f t="shared" si="11"/>
        <v>0.42610702732683647</v>
      </c>
      <c r="Y34" s="8">
        <f t="shared" si="11"/>
        <v>0.9524340711252518</v>
      </c>
      <c r="Z34" s="8">
        <f t="shared" si="11"/>
        <v>1.8232956571111998</v>
      </c>
      <c r="AA34" s="8">
        <f t="shared" si="11"/>
        <v>2.7580736326293844</v>
      </c>
      <c r="AB34" s="8">
        <f t="shared" si="11"/>
        <v>6.1648438770607763</v>
      </c>
      <c r="AC34" s="8">
        <f t="shared" si="11"/>
        <v>13.7796538783128</v>
      </c>
      <c r="AD34" s="8">
        <f t="shared" si="11"/>
        <v>26.37913093883758</v>
      </c>
      <c r="AE34" s="8">
        <f t="shared" si="11"/>
        <v>39.903339433911995</v>
      </c>
      <c r="AF34" s="8">
        <f t="shared" si="11"/>
        <v>68.84473958916071</v>
      </c>
    </row>
    <row r="35" spans="1:32">
      <c r="A35" s="54" t="s">
        <v>69</v>
      </c>
      <c r="B35" s="55">
        <v>1.0893679999999999</v>
      </c>
      <c r="C35" s="56">
        <v>23.399598000000001</v>
      </c>
      <c r="E35" s="100" t="s">
        <v>64</v>
      </c>
      <c r="F35" s="91">
        <f t="shared" si="3"/>
        <v>1.1106670000000001</v>
      </c>
      <c r="G35" s="87">
        <f t="shared" si="4"/>
        <v>23.879618000000001</v>
      </c>
      <c r="H35" s="100" t="s">
        <v>64</v>
      </c>
      <c r="I35" s="87">
        <f t="shared" si="7"/>
        <v>4.0926763685720724</v>
      </c>
      <c r="J35" s="91"/>
      <c r="K35" s="84" t="s">
        <v>102</v>
      </c>
      <c r="L35" s="72" t="s">
        <v>64</v>
      </c>
      <c r="M35" s="8">
        <f t="shared" si="10"/>
        <v>1.9203367621049741E-4</v>
      </c>
      <c r="N35" s="8">
        <f t="shared" si="10"/>
        <v>5.1962311923509151E-4</v>
      </c>
      <c r="O35" s="8">
        <f t="shared" si="10"/>
        <v>7.9008226878466E-4</v>
      </c>
      <c r="P35" s="8">
        <f t="shared" si="10"/>
        <v>1.7837423513283408E-3</v>
      </c>
      <c r="Q35" s="8">
        <f t="shared" si="10"/>
        <v>4.027095533755836E-3</v>
      </c>
      <c r="R35" s="8">
        <f t="shared" si="10"/>
        <v>7.7717875379847761E-3</v>
      </c>
      <c r="S35" s="8">
        <f t="shared" si="10"/>
        <v>1.1816932894676146E-2</v>
      </c>
      <c r="T35" s="8">
        <f t="shared" si="10"/>
        <v>2.6678694738286605E-2</v>
      </c>
      <c r="U35" s="8">
        <f t="shared" si="10"/>
        <v>6.0231598104390376E-2</v>
      </c>
      <c r="V35" s="8">
        <f t="shared" si="10"/>
        <v>0.11623940371338398</v>
      </c>
      <c r="W35" s="8">
        <f t="shared" si="11"/>
        <v>0.17674096553524554</v>
      </c>
      <c r="X35" s="8">
        <f t="shared" si="11"/>
        <v>0.39902217515250654</v>
      </c>
      <c r="Y35" s="8">
        <f t="shared" si="11"/>
        <v>0.90085903843093629</v>
      </c>
      <c r="Z35" s="8">
        <f t="shared" si="11"/>
        <v>1.7385445638606103</v>
      </c>
      <c r="AA35" s="8">
        <f t="shared" si="11"/>
        <v>2.6434413376760708</v>
      </c>
      <c r="AB35" s="8">
        <f t="shared" si="11"/>
        <v>5.9680092232901618</v>
      </c>
      <c r="AC35" s="8">
        <f t="shared" si="11"/>
        <v>13.473775105820398</v>
      </c>
      <c r="AD35" s="8">
        <f t="shared" si="11"/>
        <v>26.002690171932208</v>
      </c>
      <c r="AE35" s="8">
        <f t="shared" si="11"/>
        <v>39.53685601169316</v>
      </c>
      <c r="AF35" s="8">
        <f t="shared" si="11"/>
        <v>68.676619758781968</v>
      </c>
    </row>
    <row r="36" spans="1:32">
      <c r="A36" s="57" t="s">
        <v>70</v>
      </c>
      <c r="B36" s="58">
        <v>1.0724450000000001</v>
      </c>
      <c r="C36" s="59">
        <v>23.848534000000001</v>
      </c>
      <c r="E36" s="100" t="s">
        <v>58</v>
      </c>
      <c r="F36" s="91">
        <f t="shared" si="3"/>
        <v>1.0245949999999999</v>
      </c>
      <c r="G36" s="87">
        <f t="shared" si="4"/>
        <v>22.345970999999999</v>
      </c>
      <c r="H36" s="100" t="s">
        <v>58</v>
      </c>
      <c r="I36" s="87">
        <f t="shared" si="7"/>
        <v>2.8822383653215806</v>
      </c>
      <c r="J36" s="91"/>
      <c r="K36" s="84" t="s">
        <v>102</v>
      </c>
      <c r="L36" s="72" t="s">
        <v>58</v>
      </c>
      <c r="M36" s="8">
        <f t="shared" si="10"/>
        <v>3.5562921111939838E-4</v>
      </c>
      <c r="N36" s="8">
        <f t="shared" si="10"/>
        <v>8.9085334417455034E-4</v>
      </c>
      <c r="O36" s="8">
        <f t="shared" si="10"/>
        <v>1.3112547816592794E-3</v>
      </c>
      <c r="P36" s="8">
        <f t="shared" si="10"/>
        <v>2.7793276785217625E-3</v>
      </c>
      <c r="Q36" s="8">
        <f t="shared" si="10"/>
        <v>5.8910460824572464E-3</v>
      </c>
      <c r="R36" s="8">
        <f t="shared" si="10"/>
        <v>1.0804237366704522E-2</v>
      </c>
      <c r="S36" s="8">
        <f t="shared" si="10"/>
        <v>1.5902850903478642E-2</v>
      </c>
      <c r="T36" s="8">
        <f t="shared" si="10"/>
        <v>3.3707586276644656E-2</v>
      </c>
      <c r="U36" s="8">
        <f t="shared" si="10"/>
        <v>7.1446395334619855E-2</v>
      </c>
      <c r="V36" s="8">
        <f t="shared" si="10"/>
        <v>0.1310334027923038</v>
      </c>
      <c r="W36" s="8">
        <f t="shared" si="11"/>
        <v>0.19286920466993193</v>
      </c>
      <c r="X36" s="8">
        <f t="shared" si="11"/>
        <v>0.40880439588963963</v>
      </c>
      <c r="Y36" s="8">
        <f t="shared" si="11"/>
        <v>0.86649931690596638</v>
      </c>
      <c r="Z36" s="8">
        <f t="shared" si="11"/>
        <v>1.5891684035230702</v>
      </c>
      <c r="AA36" s="8">
        <f t="shared" si="11"/>
        <v>2.3391107881087727</v>
      </c>
      <c r="AB36" s="8">
        <f t="shared" si="11"/>
        <v>4.9579650327703257</v>
      </c>
      <c r="AC36" s="8">
        <f t="shared" si="11"/>
        <v>10.5088725985689</v>
      </c>
      <c r="AD36" s="8">
        <f t="shared" si="11"/>
        <v>19.273377329283488</v>
      </c>
      <c r="AE36" s="8">
        <f t="shared" si="11"/>
        <v>28.368651638349505</v>
      </c>
      <c r="AF36" s="8">
        <f t="shared" si="11"/>
        <v>47.212985316630999</v>
      </c>
    </row>
    <row r="37" spans="1:32">
      <c r="A37" s="57" t="s">
        <v>71</v>
      </c>
      <c r="B37" s="58">
        <v>1.102112</v>
      </c>
      <c r="C37" s="59">
        <v>24.285617999999999</v>
      </c>
      <c r="D37" s="93"/>
      <c r="E37" s="100" t="s">
        <v>60</v>
      </c>
      <c r="F37" s="91">
        <f t="shared" si="3"/>
        <v>1.0553729999999999</v>
      </c>
      <c r="G37" s="87">
        <f t="shared" si="4"/>
        <v>22.956385000000001</v>
      </c>
      <c r="H37" s="100" t="s">
        <v>60</v>
      </c>
      <c r="I37" s="87">
        <f t="shared" si="7"/>
        <v>3.4881432516028186</v>
      </c>
      <c r="J37" s="91"/>
      <c r="K37" s="84" t="s">
        <v>102</v>
      </c>
      <c r="L37" s="72" t="s">
        <v>60</v>
      </c>
      <c r="M37" s="8">
        <f t="shared" si="10"/>
        <v>3.0463879971900514E-4</v>
      </c>
      <c r="N37" s="8">
        <f t="shared" si="10"/>
        <v>7.8446558447995622E-4</v>
      </c>
      <c r="O37" s="8">
        <f t="shared" si="10"/>
        <v>1.1681477324507136E-3</v>
      </c>
      <c r="P37" s="8">
        <f t="shared" si="10"/>
        <v>2.5325078631016481E-3</v>
      </c>
      <c r="Q37" s="8">
        <f t="shared" si="10"/>
        <v>5.4903980879338864E-3</v>
      </c>
      <c r="R37" s="8">
        <f t="shared" si="10"/>
        <v>1.0254580630458088E-2</v>
      </c>
      <c r="S37" s="8">
        <f t="shared" si="10"/>
        <v>1.5270096416841322E-2</v>
      </c>
      <c r="T37" s="8">
        <f t="shared" si="10"/>
        <v>3.3105092936181718E-2</v>
      </c>
      <c r="U37" s="8">
        <f t="shared" si="10"/>
        <v>7.177080932537673E-2</v>
      </c>
      <c r="V37" s="8">
        <f t="shared" si="10"/>
        <v>0.13404848598460575</v>
      </c>
      <c r="W37" s="8">
        <f t="shared" si="11"/>
        <v>0.19961160570884093</v>
      </c>
      <c r="X37" s="8">
        <f t="shared" si="11"/>
        <v>0.43275173762777136</v>
      </c>
      <c r="Y37" s="8">
        <f t="shared" si="11"/>
        <v>0.93819227471682198</v>
      </c>
      <c r="Z37" s="8">
        <f t="shared" si="11"/>
        <v>1.7522897563839499</v>
      </c>
      <c r="AA37" s="8">
        <f t="shared" si="11"/>
        <v>2.6093347445872999</v>
      </c>
      <c r="AB37" s="8">
        <f t="shared" si="11"/>
        <v>5.6569563716637861</v>
      </c>
      <c r="AC37" s="8">
        <f t="shared" si="11"/>
        <v>12.264105039527578</v>
      </c>
      <c r="AD37" s="8">
        <f t="shared" si="11"/>
        <v>22.906035586860334</v>
      </c>
      <c r="AE37" s="8">
        <f t="shared" si="11"/>
        <v>34.109378485946827</v>
      </c>
      <c r="AF37" s="8">
        <f t="shared" si="11"/>
        <v>57.642382884207152</v>
      </c>
    </row>
    <row r="38" spans="1:32">
      <c r="A38" s="57" t="s">
        <v>72</v>
      </c>
      <c r="B38" s="58">
        <v>1.062033</v>
      </c>
      <c r="C38" s="59">
        <v>23.405726999999999</v>
      </c>
      <c r="D38" s="93"/>
      <c r="E38" s="100" t="s">
        <v>78</v>
      </c>
      <c r="F38" s="91">
        <f t="shared" si="3"/>
        <v>1.0404720000000001</v>
      </c>
      <c r="G38" s="87">
        <f t="shared" si="4"/>
        <v>23.073156000000001</v>
      </c>
      <c r="H38" s="100" t="s">
        <v>78</v>
      </c>
      <c r="I38" s="87">
        <f t="shared" si="7"/>
        <v>4.9189199383062183</v>
      </c>
      <c r="J38" s="91"/>
      <c r="K38" s="84" t="s">
        <v>102</v>
      </c>
      <c r="L38" s="72" t="s">
        <v>78</v>
      </c>
      <c r="M38" s="8">
        <f t="shared" si="10"/>
        <v>5.0784326673737222E-4</v>
      </c>
      <c r="N38" s="8">
        <f t="shared" si="10"/>
        <v>1.2903822476039537E-3</v>
      </c>
      <c r="O38" s="8">
        <f t="shared" si="10"/>
        <v>1.910736111547622E-3</v>
      </c>
      <c r="P38" s="8">
        <f t="shared" si="10"/>
        <v>4.097405545595261E-3</v>
      </c>
      <c r="Q38" s="8">
        <f t="shared" si="10"/>
        <v>8.7865258334792456E-3</v>
      </c>
      <c r="R38" s="8">
        <f t="shared" si="10"/>
        <v>1.6266740106702232E-2</v>
      </c>
      <c r="S38" s="8">
        <f t="shared" si="10"/>
        <v>2.4087008168897073E-2</v>
      </c>
      <c r="T38" s="8">
        <f t="shared" si="10"/>
        <v>5.165247061149577E-2</v>
      </c>
      <c r="U38" s="8">
        <f t="shared" si="10"/>
        <v>0.11076418048948615</v>
      </c>
      <c r="V38" s="8">
        <f t="shared" si="10"/>
        <v>0.20506081371650306</v>
      </c>
      <c r="W38" s="8">
        <f t="shared" si="11"/>
        <v>0.30364421283616383</v>
      </c>
      <c r="X38" s="8">
        <f t="shared" si="11"/>
        <v>0.65113830949429152</v>
      </c>
      <c r="Y38" s="8">
        <f t="shared" si="11"/>
        <v>1.3963088383306244</v>
      </c>
      <c r="Z38" s="8">
        <f t="shared" si="11"/>
        <v>2.5850254596954527</v>
      </c>
      <c r="AA38" s="8">
        <f t="shared" si="11"/>
        <v>3.8277816548403627</v>
      </c>
      <c r="AB38" s="8">
        <f t="shared" si="11"/>
        <v>8.2083411126654013</v>
      </c>
      <c r="AC38" s="8">
        <f t="shared" si="11"/>
        <v>17.602065608071602</v>
      </c>
      <c r="AD38" s="8">
        <f t="shared" si="11"/>
        <v>32.587194531042968</v>
      </c>
      <c r="AE38" s="8">
        <f t="shared" si="11"/>
        <v>48.253553921800133</v>
      </c>
      <c r="AF38" s="8">
        <f t="shared" si="11"/>
        <v>80.943152355375872</v>
      </c>
    </row>
    <row r="39" spans="1:32">
      <c r="A39" s="57" t="s">
        <v>73</v>
      </c>
      <c r="B39" s="58">
        <v>1.1105119999999999</v>
      </c>
      <c r="C39" s="59">
        <v>24.296315</v>
      </c>
      <c r="D39" s="93"/>
      <c r="E39" s="100" t="s">
        <v>80</v>
      </c>
      <c r="F39" s="91">
        <f t="shared" si="3"/>
        <v>1.061679</v>
      </c>
      <c r="G39" s="87">
        <f t="shared" si="4"/>
        <v>23.37904</v>
      </c>
      <c r="H39" s="100" t="s">
        <v>80</v>
      </c>
      <c r="I39" s="87">
        <f t="shared" si="7"/>
        <v>4.9692419464819855</v>
      </c>
      <c r="J39" s="91"/>
      <c r="K39" s="84" t="s">
        <v>102</v>
      </c>
      <c r="L39" s="72" t="s">
        <v>80</v>
      </c>
      <c r="M39" s="8">
        <f t="shared" si="10"/>
        <v>4.0431725828102814E-4</v>
      </c>
      <c r="N39" s="8">
        <f t="shared" si="10"/>
        <v>1.0470453167285418E-3</v>
      </c>
      <c r="O39" s="8">
        <f t="shared" si="10"/>
        <v>1.5628690750125851E-3</v>
      </c>
      <c r="P39" s="8">
        <f t="shared" si="10"/>
        <v>3.4039533012059455E-3</v>
      </c>
      <c r="Q39" s="8">
        <f t="shared" si="10"/>
        <v>7.4138635552038114E-3</v>
      </c>
      <c r="R39" s="8">
        <f t="shared" si="10"/>
        <v>1.3898879758651951E-2</v>
      </c>
      <c r="S39" s="8">
        <f t="shared" si="10"/>
        <v>2.0746121495472215E-2</v>
      </c>
      <c r="T39" s="8">
        <f t="shared" si="10"/>
        <v>4.5185377253154677E-2</v>
      </c>
      <c r="U39" s="8">
        <f t="shared" si="10"/>
        <v>9.8414458719694065E-2</v>
      </c>
      <c r="V39" s="8">
        <f t="shared" si="10"/>
        <v>0.18449904264797806</v>
      </c>
      <c r="W39" s="8">
        <f t="shared" si="11"/>
        <v>0.27539194676395312</v>
      </c>
      <c r="X39" s="8">
        <f t="shared" si="11"/>
        <v>0.59980796939445813</v>
      </c>
      <c r="Y39" s="8">
        <f t="shared" si="11"/>
        <v>1.3063911431566715</v>
      </c>
      <c r="Z39" s="8">
        <f t="shared" si="11"/>
        <v>2.4491108153396919</v>
      </c>
      <c r="AA39" s="8">
        <f t="shared" si="11"/>
        <v>3.6556579676346725</v>
      </c>
      <c r="AB39" s="8">
        <f t="shared" si="11"/>
        <v>7.962080257368779</v>
      </c>
      <c r="AC39" s="8">
        <f t="shared" si="11"/>
        <v>17.341535391452414</v>
      </c>
      <c r="AD39" s="8">
        <f t="shared" si="11"/>
        <v>32.510433115136799</v>
      </c>
      <c r="AE39" s="8">
        <f t="shared" si="11"/>
        <v>48.526601207352776</v>
      </c>
      <c r="AF39" s="8">
        <f t="shared" si="11"/>
        <v>82.263946024353288</v>
      </c>
    </row>
    <row r="40" spans="1:32">
      <c r="A40" s="57" t="s">
        <v>74</v>
      </c>
      <c r="B40" s="58">
        <v>1.0488280000000001</v>
      </c>
      <c r="C40" s="59">
        <v>23.145448999999999</v>
      </c>
      <c r="E40" s="100" t="s">
        <v>74</v>
      </c>
      <c r="F40" s="91">
        <f t="shared" si="3"/>
        <v>1.0488280000000001</v>
      </c>
      <c r="G40" s="87">
        <f t="shared" si="4"/>
        <v>23.145448999999999</v>
      </c>
      <c r="H40" s="100" t="s">
        <v>74</v>
      </c>
      <c r="I40" s="87">
        <f t="shared" si="7"/>
        <v>4.6929938271832645</v>
      </c>
      <c r="J40" s="91"/>
      <c r="K40" s="84" t="s">
        <v>102</v>
      </c>
      <c r="L40" s="72" t="s">
        <v>74</v>
      </c>
      <c r="M40" s="8">
        <f t="shared" si="10"/>
        <v>4.4112515888149867E-4</v>
      </c>
      <c r="N40" s="8">
        <f t="shared" si="10"/>
        <v>1.1292834432681247E-3</v>
      </c>
      <c r="O40" s="8">
        <f t="shared" si="10"/>
        <v>1.6774687231330674E-3</v>
      </c>
      <c r="P40" s="8">
        <f t="shared" si="10"/>
        <v>3.6192901214559389E-3</v>
      </c>
      <c r="Q40" s="8">
        <f t="shared" si="10"/>
        <v>7.8089449911188779E-3</v>
      </c>
      <c r="R40" s="8">
        <f t="shared" si="10"/>
        <v>1.4528602847422129E-2</v>
      </c>
      <c r="S40" s="8">
        <f t="shared" si="10"/>
        <v>2.158118673629255E-2</v>
      </c>
      <c r="T40" s="8">
        <f t="shared" si="10"/>
        <v>4.6563357567748348E-2</v>
      </c>
      <c r="U40" s="8">
        <f t="shared" si="10"/>
        <v>0.10046464517800947</v>
      </c>
      <c r="V40" s="8">
        <f t="shared" si="10"/>
        <v>0.18691525316909072</v>
      </c>
      <c r="W40" s="8">
        <f t="shared" si="11"/>
        <v>0.27764906404742534</v>
      </c>
      <c r="X40" s="8">
        <f t="shared" si="11"/>
        <v>0.59905290684732471</v>
      </c>
      <c r="Y40" s="8">
        <f t="shared" si="11"/>
        <v>1.2925106966718662</v>
      </c>
      <c r="Z40" s="8">
        <f t="shared" si="11"/>
        <v>2.4047261966049414</v>
      </c>
      <c r="AA40" s="8">
        <f t="shared" si="11"/>
        <v>3.5720465101565955</v>
      </c>
      <c r="AB40" s="8">
        <f t="shared" si="11"/>
        <v>7.7070126371383747</v>
      </c>
      <c r="AC40" s="8">
        <f t="shared" si="11"/>
        <v>16.628575137563566</v>
      </c>
      <c r="AD40" s="8">
        <f t="shared" si="11"/>
        <v>30.937593281415051</v>
      </c>
      <c r="AE40" s="8">
        <f t="shared" si="11"/>
        <v>45.955552972951665</v>
      </c>
      <c r="AF40" s="8">
        <f t="shared" si="11"/>
        <v>77.409269537611578</v>
      </c>
    </row>
    <row r="41" spans="1:32">
      <c r="A41" s="57" t="s">
        <v>75</v>
      </c>
      <c r="B41" s="58">
        <v>1.1112930000000001</v>
      </c>
      <c r="C41" s="59">
        <v>24.403921</v>
      </c>
      <c r="E41" s="100" t="s">
        <v>76</v>
      </c>
      <c r="F41" s="91">
        <f t="shared" si="3"/>
        <v>1.042727</v>
      </c>
      <c r="G41" s="87">
        <f t="shared" si="4"/>
        <v>23.079758000000002</v>
      </c>
      <c r="H41" s="100" t="s">
        <v>76</v>
      </c>
      <c r="I41" s="87">
        <f t="shared" si="7"/>
        <v>4.7910321902927233</v>
      </c>
      <c r="J41" s="91"/>
      <c r="K41" s="84" t="s">
        <v>102</v>
      </c>
      <c r="L41" s="72" t="s">
        <v>76</v>
      </c>
      <c r="M41" s="8">
        <f t="shared" si="10"/>
        <v>4.8227317127442273E-4</v>
      </c>
      <c r="N41" s="8">
        <f t="shared" si="10"/>
        <v>1.227890134312509E-3</v>
      </c>
      <c r="O41" s="8">
        <f t="shared" si="10"/>
        <v>1.8197483144437763E-3</v>
      </c>
      <c r="P41" s="8">
        <f t="shared" si="10"/>
        <v>3.9087473941664484E-3</v>
      </c>
      <c r="Q41" s="8">
        <f t="shared" si="10"/>
        <v>8.395834781181246E-3</v>
      </c>
      <c r="R41" s="8">
        <f t="shared" si="10"/>
        <v>1.5564204707638498E-2</v>
      </c>
      <c r="S41" s="8">
        <f t="shared" si="10"/>
        <v>2.3066343226416711E-2</v>
      </c>
      <c r="T41" s="8">
        <f t="shared" si="10"/>
        <v>4.9545592796311141E-2</v>
      </c>
      <c r="U41" s="8">
        <f t="shared" si="10"/>
        <v>0.10642197341131077</v>
      </c>
      <c r="V41" s="8">
        <f t="shared" si="10"/>
        <v>0.19728513277526244</v>
      </c>
      <c r="W41" s="8">
        <f t="shared" si="11"/>
        <v>0.29237899857678079</v>
      </c>
      <c r="X41" s="8">
        <f t="shared" si="11"/>
        <v>0.62801852306993944</v>
      </c>
      <c r="Y41" s="8">
        <f t="shared" si="11"/>
        <v>1.3489589445165673</v>
      </c>
      <c r="Z41" s="8">
        <f t="shared" si="11"/>
        <v>2.5007010859379912</v>
      </c>
      <c r="AA41" s="8">
        <f t="shared" si="11"/>
        <v>3.7060698338547096</v>
      </c>
      <c r="AB41" s="8">
        <f t="shared" si="11"/>
        <v>7.960491399112132</v>
      </c>
      <c r="AC41" s="8">
        <f t="shared" si="11"/>
        <v>17.09882062568343</v>
      </c>
      <c r="AD41" s="8">
        <f t="shared" si="11"/>
        <v>31.697806282925256</v>
      </c>
      <c r="AE41" s="8">
        <f t="shared" si="11"/>
        <v>46.976539629267883</v>
      </c>
      <c r="AF41" s="8">
        <f t="shared" si="11"/>
        <v>78.889411127259166</v>
      </c>
    </row>
    <row r="42" spans="1:32">
      <c r="A42" s="57" t="s">
        <v>76</v>
      </c>
      <c r="B42" s="58">
        <v>1.042727</v>
      </c>
      <c r="C42" s="59">
        <v>23.079758000000002</v>
      </c>
      <c r="E42" s="100" t="s">
        <v>70</v>
      </c>
      <c r="F42" s="91">
        <f t="shared" si="3"/>
        <v>1.0724450000000001</v>
      </c>
      <c r="G42" s="87">
        <f t="shared" si="4"/>
        <v>23.848534000000001</v>
      </c>
      <c r="H42" s="100" t="s">
        <v>70</v>
      </c>
      <c r="I42" s="87">
        <f t="shared" si="7"/>
        <v>6.9645208412878068</v>
      </c>
      <c r="J42" s="91"/>
      <c r="K42" s="84" t="s">
        <v>102</v>
      </c>
      <c r="L42" s="72" t="s">
        <v>70</v>
      </c>
      <c r="M42" s="8">
        <f t="shared" ref="M42:V51" si="12">d1_s*EXP(d2_s*($F42*LN(M$10)+$G42))</f>
        <v>5.0211394607936524E-4</v>
      </c>
      <c r="N42" s="8">
        <f t="shared" si="12"/>
        <v>1.3129131336660485E-3</v>
      </c>
      <c r="O42" s="8">
        <f t="shared" si="12"/>
        <v>1.9676920516333934E-3</v>
      </c>
      <c r="P42" s="8">
        <f t="shared" si="12"/>
        <v>4.3196270143269627E-3</v>
      </c>
      <c r="Q42" s="8">
        <f t="shared" si="12"/>
        <v>9.4827732456480209E-3</v>
      </c>
      <c r="R42" s="8">
        <f t="shared" si="12"/>
        <v>1.7891151172702079E-2</v>
      </c>
      <c r="S42" s="8">
        <f t="shared" si="12"/>
        <v>2.6813865330752251E-2</v>
      </c>
      <c r="T42" s="8">
        <f t="shared" si="12"/>
        <v>5.8863833365132123E-2</v>
      </c>
      <c r="U42" s="8">
        <f t="shared" si="12"/>
        <v>0.12922235700438819</v>
      </c>
      <c r="V42" s="8">
        <f t="shared" si="12"/>
        <v>0.24380386034427384</v>
      </c>
      <c r="W42" s="8">
        <f t="shared" ref="W42:AF51" si="13">d1_s*EXP(d2_s*($F42*LN(W$10)+$G42))</f>
        <v>0.36539425637201961</v>
      </c>
      <c r="X42" s="8">
        <f t="shared" si="13"/>
        <v>0.80214121889362067</v>
      </c>
      <c r="Y42" s="8">
        <f t="shared" si="13"/>
        <v>1.7609213167079554</v>
      </c>
      <c r="Z42" s="8">
        <f t="shared" si="13"/>
        <v>3.3223307849224875</v>
      </c>
      <c r="AA42" s="8">
        <f t="shared" si="13"/>
        <v>4.9792508816898762</v>
      </c>
      <c r="AB42" s="8">
        <f t="shared" si="13"/>
        <v>10.930829649794408</v>
      </c>
      <c r="AC42" s="8">
        <f t="shared" si="13"/>
        <v>23.996187312472518</v>
      </c>
      <c r="AD42" s="8">
        <f t="shared" si="13"/>
        <v>45.273613915944971</v>
      </c>
      <c r="AE42" s="8">
        <f t="shared" si="13"/>
        <v>67.852569958206644</v>
      </c>
      <c r="AF42" s="8">
        <f t="shared" si="13"/>
        <v>115.64330041145543</v>
      </c>
    </row>
    <row r="43" spans="1:32">
      <c r="A43" s="57" t="s">
        <v>77</v>
      </c>
      <c r="B43" s="58">
        <v>1.080141</v>
      </c>
      <c r="C43" s="59">
        <v>23.756021</v>
      </c>
      <c r="E43" s="100" t="s">
        <v>72</v>
      </c>
      <c r="F43" s="91">
        <f t="shared" si="3"/>
        <v>1.062033</v>
      </c>
      <c r="G43" s="87">
        <f t="shared" si="4"/>
        <v>23.405726999999999</v>
      </c>
      <c r="H43" s="100" t="s">
        <v>72</v>
      </c>
      <c r="I43" s="87">
        <f t="shared" si="7"/>
        <v>5.0848510377629994</v>
      </c>
      <c r="J43" s="91"/>
      <c r="K43" s="84" t="s">
        <v>102</v>
      </c>
      <c r="L43" s="72" t="s">
        <v>72</v>
      </c>
      <c r="M43" s="8">
        <f t="shared" si="12"/>
        <v>4.1208192547472936E-4</v>
      </c>
      <c r="N43" s="8">
        <f t="shared" si="12"/>
        <v>1.0674918169243852E-3</v>
      </c>
      <c r="O43" s="8">
        <f t="shared" si="12"/>
        <v>1.5936013056838522E-3</v>
      </c>
      <c r="P43" s="8">
        <f t="shared" si="12"/>
        <v>3.4717895660534115E-3</v>
      </c>
      <c r="Q43" s="8">
        <f t="shared" si="12"/>
        <v>7.5635748715611227E-3</v>
      </c>
      <c r="R43" s="8">
        <f t="shared" si="12"/>
        <v>1.4182517398577165E-2</v>
      </c>
      <c r="S43" s="8">
        <f t="shared" si="12"/>
        <v>2.1172319905340825E-2</v>
      </c>
      <c r="T43" s="8">
        <f t="shared" si="12"/>
        <v>4.6125614402006361E-2</v>
      </c>
      <c r="U43" s="8">
        <f t="shared" si="12"/>
        <v>0.100488388304859</v>
      </c>
      <c r="V43" s="8">
        <f t="shared" si="12"/>
        <v>0.18842654957344052</v>
      </c>
      <c r="W43" s="8">
        <f t="shared" si="13"/>
        <v>0.28129189438742702</v>
      </c>
      <c r="X43" s="8">
        <f t="shared" si="13"/>
        <v>0.61281718361205451</v>
      </c>
      <c r="Y43" s="8">
        <f t="shared" si="13"/>
        <v>1.3350718880401373</v>
      </c>
      <c r="Z43" s="8">
        <f t="shared" si="13"/>
        <v>2.5034035627352136</v>
      </c>
      <c r="AA43" s="8">
        <f t="shared" si="13"/>
        <v>3.737196972359571</v>
      </c>
      <c r="AB43" s="8">
        <f t="shared" si="13"/>
        <v>8.1417864108467377</v>
      </c>
      <c r="AC43" s="8">
        <f t="shared" si="13"/>
        <v>17.737541384658492</v>
      </c>
      <c r="AD43" s="8">
        <f t="shared" si="13"/>
        <v>33.259800235702549</v>
      </c>
      <c r="AE43" s="8">
        <f t="shared" si="13"/>
        <v>49.651772727503726</v>
      </c>
      <c r="AF43" s="8">
        <f t="shared" si="13"/>
        <v>84.18618999732054</v>
      </c>
    </row>
    <row r="44" spans="1:32">
      <c r="A44" s="57" t="s">
        <v>78</v>
      </c>
      <c r="B44" s="58">
        <v>1.0404720000000001</v>
      </c>
      <c r="C44" s="59">
        <v>23.073156000000001</v>
      </c>
      <c r="E44" s="100" t="s">
        <v>89</v>
      </c>
      <c r="F44" s="91">
        <f t="shared" ref="F44:F75" si="14">VLOOKUP(E44,data,2,FALSE)</f>
        <v>1.050297</v>
      </c>
      <c r="G44" s="87">
        <f t="shared" ref="G44:G68" si="15">VLOOKUP(E44,data,3,FALSE)</f>
        <v>23.093264000000001</v>
      </c>
      <c r="H44" s="100" t="s">
        <v>89</v>
      </c>
      <c r="I44" s="87">
        <f t="shared" si="7"/>
        <v>4.3455961261854616</v>
      </c>
      <c r="J44" s="91"/>
      <c r="K44" s="84" t="s">
        <v>102</v>
      </c>
      <c r="L44" s="72" t="s">
        <v>89</v>
      </c>
      <c r="M44" s="8">
        <f t="shared" si="12"/>
        <v>4.0178802949334254E-4</v>
      </c>
      <c r="N44" s="8">
        <f t="shared" si="12"/>
        <v>1.0299352296109314E-3</v>
      </c>
      <c r="O44" s="8">
        <f t="shared" si="12"/>
        <v>1.5307422921478292E-3</v>
      </c>
      <c r="P44" s="8">
        <f t="shared" si="12"/>
        <v>3.3062737415160653E-3</v>
      </c>
      <c r="Q44" s="8">
        <f t="shared" si="12"/>
        <v>7.1412713360786617E-3</v>
      </c>
      <c r="R44" s="8">
        <f t="shared" si="12"/>
        <v>1.3297949275255046E-2</v>
      </c>
      <c r="S44" s="8">
        <f t="shared" si="12"/>
        <v>1.9764090759531755E-2</v>
      </c>
      <c r="T44" s="8">
        <f t="shared" si="12"/>
        <v>4.2688762594709342E-2</v>
      </c>
      <c r="U44" s="8">
        <f t="shared" si="12"/>
        <v>9.2204112703166086E-2</v>
      </c>
      <c r="V44" s="8">
        <f t="shared" si="12"/>
        <v>0.17169570458722819</v>
      </c>
      <c r="W44" s="8">
        <f t="shared" si="13"/>
        <v>0.25518291717341673</v>
      </c>
      <c r="X44" s="8">
        <f t="shared" si="13"/>
        <v>0.55117349449469377</v>
      </c>
      <c r="Y44" s="8">
        <f t="shared" si="13"/>
        <v>1.1904880796822372</v>
      </c>
      <c r="Z44" s="8">
        <f t="shared" si="13"/>
        <v>2.2168391805013283</v>
      </c>
      <c r="AA44" s="8">
        <f t="shared" si="13"/>
        <v>3.2947795074119486</v>
      </c>
      <c r="AB44" s="8">
        <f t="shared" si="13"/>
        <v>7.1164447636423844</v>
      </c>
      <c r="AC44" s="8">
        <f t="shared" si="13"/>
        <v>15.37091813277479</v>
      </c>
      <c r="AD44" s="8">
        <f t="shared" si="13"/>
        <v>28.622591135989087</v>
      </c>
      <c r="AE44" s="8">
        <f t="shared" si="13"/>
        <v>42.540355454454321</v>
      </c>
      <c r="AF44" s="8">
        <f t="shared" si="13"/>
        <v>71.708933393861983</v>
      </c>
    </row>
    <row r="45" spans="1:32">
      <c r="A45" s="57" t="s">
        <v>79</v>
      </c>
      <c r="B45" s="58">
        <v>1.0513809999999999</v>
      </c>
      <c r="C45" s="59">
        <v>23.191091</v>
      </c>
      <c r="E45" s="100" t="s">
        <v>92</v>
      </c>
      <c r="F45" s="91">
        <f t="shared" si="14"/>
        <v>1.056624</v>
      </c>
      <c r="G45" s="87">
        <f t="shared" si="15"/>
        <v>22.998315000000002</v>
      </c>
      <c r="H45" s="100" t="s">
        <v>92</v>
      </c>
      <c r="I45" s="87">
        <f t="shared" si="7"/>
        <v>3.5795498988979508</v>
      </c>
      <c r="J45" s="91"/>
      <c r="K45" s="84" t="s">
        <v>102</v>
      </c>
      <c r="L45" s="72" t="s">
        <v>92</v>
      </c>
      <c r="M45" s="8">
        <f t="shared" si="12"/>
        <v>3.0826029734125555E-4</v>
      </c>
      <c r="N45" s="8">
        <f t="shared" si="12"/>
        <v>7.9468168935685284E-4</v>
      </c>
      <c r="O45" s="8">
        <f t="shared" si="12"/>
        <v>1.1839191868714192E-3</v>
      </c>
      <c r="P45" s="8">
        <f t="shared" si="12"/>
        <v>2.5690552002000135E-3</v>
      </c>
      <c r="Q45" s="8">
        <f t="shared" si="12"/>
        <v>5.5747425118734782E-3</v>
      </c>
      <c r="R45" s="8">
        <f t="shared" si="12"/>
        <v>1.0419826511123945E-2</v>
      </c>
      <c r="S45" s="8">
        <f t="shared" si="12"/>
        <v>1.5523489084510121E-2</v>
      </c>
      <c r="T45" s="8">
        <f t="shared" si="12"/>
        <v>3.3685323120065419E-2</v>
      </c>
      <c r="U45" s="8">
        <f t="shared" si="12"/>
        <v>7.3095744618100505E-2</v>
      </c>
      <c r="V45" s="8">
        <f t="shared" si="12"/>
        <v>0.13662424336188156</v>
      </c>
      <c r="W45" s="8">
        <f t="shared" si="13"/>
        <v>0.2035432114194427</v>
      </c>
      <c r="X45" s="8">
        <f t="shared" si="13"/>
        <v>0.44168026970182334</v>
      </c>
      <c r="Y45" s="8">
        <f t="shared" si="13"/>
        <v>0.95842774260778474</v>
      </c>
      <c r="Z45" s="8">
        <f t="shared" si="13"/>
        <v>1.791410236464023</v>
      </c>
      <c r="AA45" s="8">
        <f t="shared" si="13"/>
        <v>2.6688483941590313</v>
      </c>
      <c r="AB45" s="8">
        <f t="shared" si="13"/>
        <v>5.7912895758352052</v>
      </c>
      <c r="AC45" s="8">
        <f t="shared" si="13"/>
        <v>12.566856560522549</v>
      </c>
      <c r="AD45" s="8">
        <f t="shared" si="13"/>
        <v>23.488881302038678</v>
      </c>
      <c r="AE45" s="8">
        <f t="shared" si="13"/>
        <v>34.993806481353658</v>
      </c>
      <c r="AF45" s="8">
        <f t="shared" si="13"/>
        <v>59.173793520224315</v>
      </c>
    </row>
    <row r="46" spans="1:32">
      <c r="A46" s="57" t="s">
        <v>80</v>
      </c>
      <c r="B46" s="58">
        <v>1.061679</v>
      </c>
      <c r="C46" s="59">
        <v>23.37904</v>
      </c>
      <c r="E46" s="100" t="s">
        <v>87</v>
      </c>
      <c r="F46" s="91">
        <f t="shared" si="14"/>
        <v>1.07508</v>
      </c>
      <c r="G46" s="87">
        <f t="shared" si="15"/>
        <v>23.454829</v>
      </c>
      <c r="H46" s="100" t="s">
        <v>87</v>
      </c>
      <c r="I46" s="87">
        <f t="shared" si="7"/>
        <v>4.4169650148198745</v>
      </c>
      <c r="J46" s="91"/>
      <c r="K46" s="84" t="s">
        <v>102</v>
      </c>
      <c r="L46" s="72" t="s">
        <v>87</v>
      </c>
      <c r="M46" s="8">
        <f t="shared" si="12"/>
        <v>3.0915684755004164E-4</v>
      </c>
      <c r="N46" s="8">
        <f t="shared" si="12"/>
        <v>8.1028577493439519E-4</v>
      </c>
      <c r="O46" s="8">
        <f t="shared" si="12"/>
        <v>1.2156011449547131E-3</v>
      </c>
      <c r="P46" s="8">
        <f t="shared" si="12"/>
        <v>2.6737405170283966E-3</v>
      </c>
      <c r="Q46" s="8">
        <f t="shared" si="12"/>
        <v>5.8809490119932691E-3</v>
      </c>
      <c r="R46" s="8">
        <f t="shared" si="12"/>
        <v>1.1112908446294676E-2</v>
      </c>
      <c r="S46" s="8">
        <f t="shared" si="12"/>
        <v>1.6671728233395744E-2</v>
      </c>
      <c r="T46" s="8">
        <f t="shared" si="12"/>
        <v>3.6669820073406661E-2</v>
      </c>
      <c r="U46" s="8">
        <f t="shared" si="12"/>
        <v>8.0656047494971433E-2</v>
      </c>
      <c r="V46" s="8">
        <f t="shared" si="12"/>
        <v>0.15241133184860173</v>
      </c>
      <c r="W46" s="8">
        <f t="shared" si="13"/>
        <v>0.22864944101262635</v>
      </c>
      <c r="X46" s="8">
        <f t="shared" si="13"/>
        <v>0.50291929813387248</v>
      </c>
      <c r="Y46" s="8">
        <f t="shared" si="13"/>
        <v>1.106181669700643</v>
      </c>
      <c r="Z46" s="8">
        <f t="shared" si="13"/>
        <v>2.090291140984772</v>
      </c>
      <c r="AA46" s="8">
        <f t="shared" si="13"/>
        <v>3.1358816640653737</v>
      </c>
      <c r="AB46" s="8">
        <f t="shared" si="13"/>
        <v>6.8974382729216801</v>
      </c>
      <c r="AC46" s="8">
        <f t="shared" si="13"/>
        <v>15.171061865608985</v>
      </c>
      <c r="AD46" s="8">
        <f t="shared" si="13"/>
        <v>28.667927778622659</v>
      </c>
      <c r="AE46" s="8">
        <f t="shared" si="13"/>
        <v>43.007994104295129</v>
      </c>
      <c r="AF46" s="8">
        <f t="shared" si="13"/>
        <v>73.395983262886574</v>
      </c>
    </row>
    <row r="47" spans="1:32">
      <c r="A47" s="57" t="s">
        <v>81</v>
      </c>
      <c r="B47" s="58">
        <v>1.103661</v>
      </c>
      <c r="C47" s="59">
        <v>24.389952999999998</v>
      </c>
      <c r="E47" s="100" t="s">
        <v>94</v>
      </c>
      <c r="F47" s="91">
        <f t="shared" si="14"/>
        <v>1.1017980000000001</v>
      </c>
      <c r="G47" s="87">
        <f t="shared" si="15"/>
        <v>24.161697</v>
      </c>
      <c r="H47" s="100" t="s">
        <v>94</v>
      </c>
      <c r="I47" s="87">
        <f t="shared" si="7"/>
        <v>6.2873396987393386</v>
      </c>
      <c r="J47" s="91"/>
      <c r="K47" s="84" t="s">
        <v>102</v>
      </c>
      <c r="L47" s="72" t="s">
        <v>94</v>
      </c>
      <c r="M47" s="8">
        <f t="shared" si="12"/>
        <v>3.2593608546510231E-4</v>
      </c>
      <c r="N47" s="8">
        <f t="shared" si="12"/>
        <v>8.7496641846427519E-4</v>
      </c>
      <c r="O47" s="8">
        <f t="shared" si="12"/>
        <v>1.325934407690314E-3</v>
      </c>
      <c r="P47" s="8">
        <f t="shared" si="12"/>
        <v>2.9741151027717527E-3</v>
      </c>
      <c r="Q47" s="8">
        <f t="shared" si="12"/>
        <v>6.6710393766333228E-3</v>
      </c>
      <c r="R47" s="8">
        <f t="shared" si="12"/>
        <v>1.2806854014253031E-2</v>
      </c>
      <c r="S47" s="8">
        <f t="shared" si="12"/>
        <v>1.9407657292230478E-2</v>
      </c>
      <c r="T47" s="8">
        <f t="shared" si="12"/>
        <v>4.3532022645664893E-2</v>
      </c>
      <c r="U47" s="8">
        <f t="shared" si="12"/>
        <v>9.7643778797626091E-2</v>
      </c>
      <c r="V47" s="8">
        <f t="shared" si="12"/>
        <v>0.18745349110685472</v>
      </c>
      <c r="W47" s="8">
        <f t="shared" si="13"/>
        <v>0.28406922649271626</v>
      </c>
      <c r="X47" s="8">
        <f t="shared" si="13"/>
        <v>0.63717675010512687</v>
      </c>
      <c r="Y47" s="8">
        <f t="shared" si="13"/>
        <v>1.4292087034106791</v>
      </c>
      <c r="Z47" s="8">
        <f t="shared" si="13"/>
        <v>2.7437504393382572</v>
      </c>
      <c r="AA47" s="8">
        <f t="shared" si="13"/>
        <v>4.1579117059365753</v>
      </c>
      <c r="AB47" s="8">
        <f t="shared" si="13"/>
        <v>9.3263346428715046</v>
      </c>
      <c r="AC47" s="8">
        <f t="shared" si="13"/>
        <v>20.919279682306836</v>
      </c>
      <c r="AD47" s="8">
        <f t="shared" si="13"/>
        <v>40.160182821442184</v>
      </c>
      <c r="AE47" s="8">
        <f t="shared" si="13"/>
        <v>60.859213677648064</v>
      </c>
      <c r="AF47" s="8">
        <f t="shared" si="13"/>
        <v>105.24905129701474</v>
      </c>
    </row>
    <row r="48" spans="1:32">
      <c r="A48" s="60" t="s">
        <v>82</v>
      </c>
      <c r="B48" s="61">
        <v>1.0853680000000001</v>
      </c>
      <c r="C48" s="62">
        <v>23.813355999999999</v>
      </c>
      <c r="E48" s="100" t="s">
        <v>83</v>
      </c>
      <c r="F48" s="91">
        <f t="shared" si="14"/>
        <v>1.0886199999999999</v>
      </c>
      <c r="G48" s="87">
        <f t="shared" si="15"/>
        <v>23.827456000000002</v>
      </c>
      <c r="H48" s="100" t="s">
        <v>83</v>
      </c>
      <c r="I48" s="87">
        <f t="shared" si="7"/>
        <v>5.363447239933782</v>
      </c>
      <c r="J48" s="91"/>
      <c r="K48" s="84" t="s">
        <v>102</v>
      </c>
      <c r="L48" s="72" t="s">
        <v>83</v>
      </c>
      <c r="M48" s="8">
        <f t="shared" si="12"/>
        <v>3.2242469098275596E-4</v>
      </c>
      <c r="N48" s="8">
        <f t="shared" si="12"/>
        <v>8.5537762538823614E-4</v>
      </c>
      <c r="O48" s="8">
        <f t="shared" si="12"/>
        <v>1.2898206144010091E-3</v>
      </c>
      <c r="P48" s="8">
        <f t="shared" si="12"/>
        <v>2.8652920329981604E-3</v>
      </c>
      <c r="Q48" s="8">
        <f t="shared" si="12"/>
        <v>6.3651474807412869E-3</v>
      </c>
      <c r="R48" s="8">
        <f t="shared" si="12"/>
        <v>1.2124662000779565E-2</v>
      </c>
      <c r="S48" s="8">
        <f t="shared" si="12"/>
        <v>1.8282730956578511E-2</v>
      </c>
      <c r="T48" s="8">
        <f t="shared" si="12"/>
        <v>4.0614456589113314E-2</v>
      </c>
      <c r="U48" s="8">
        <f t="shared" si="12"/>
        <v>9.0223615276438712E-2</v>
      </c>
      <c r="V48" s="8">
        <f t="shared" si="12"/>
        <v>0.17186260695844741</v>
      </c>
      <c r="W48" s="8">
        <f t="shared" si="13"/>
        <v>0.25915096060537229</v>
      </c>
      <c r="X48" s="8">
        <f t="shared" si="13"/>
        <v>0.57569492569416914</v>
      </c>
      <c r="Y48" s="8">
        <f t="shared" si="13"/>
        <v>1.2788864324323201</v>
      </c>
      <c r="Z48" s="8">
        <f t="shared" si="13"/>
        <v>2.4360889951946438</v>
      </c>
      <c r="AA48" s="8">
        <f t="shared" si="13"/>
        <v>3.6733691778427744</v>
      </c>
      <c r="AB48" s="8">
        <f t="shared" si="13"/>
        <v>8.160263002481031</v>
      </c>
      <c r="AC48" s="8">
        <f t="shared" si="13"/>
        <v>18.127742964502847</v>
      </c>
      <c r="AD48" s="8">
        <f t="shared" si="13"/>
        <v>34.530662006909225</v>
      </c>
      <c r="AE48" s="8">
        <f t="shared" si="13"/>
        <v>52.068651743386759</v>
      </c>
      <c r="AF48" s="8">
        <f t="shared" si="13"/>
        <v>89.458763624750858</v>
      </c>
    </row>
    <row r="49" spans="1:32">
      <c r="A49" s="60" t="s">
        <v>83</v>
      </c>
      <c r="B49" s="61">
        <v>1.0886199999999999</v>
      </c>
      <c r="C49" s="62">
        <v>23.827456000000002</v>
      </c>
      <c r="E49" s="100" t="s">
        <v>85</v>
      </c>
      <c r="F49" s="91">
        <f t="shared" si="14"/>
        <v>1.0960000000000001</v>
      </c>
      <c r="G49" s="87">
        <f t="shared" si="15"/>
        <v>23.783847999999999</v>
      </c>
      <c r="H49" s="100" t="s">
        <v>85</v>
      </c>
      <c r="I49" s="87">
        <f t="shared" si="7"/>
        <v>4.5927722377844553</v>
      </c>
      <c r="J49" s="91"/>
      <c r="K49" s="84" t="s">
        <v>102</v>
      </c>
      <c r="L49" s="72" t="s">
        <v>85</v>
      </c>
      <c r="M49" s="8">
        <f t="shared" si="12"/>
        <v>2.5412118927079489E-4</v>
      </c>
      <c r="N49" s="8">
        <f t="shared" si="12"/>
        <v>6.7864558974393171E-4</v>
      </c>
      <c r="O49" s="8">
        <f t="shared" si="12"/>
        <v>1.026180313821999E-3</v>
      </c>
      <c r="P49" s="8">
        <f t="shared" si="12"/>
        <v>2.291992568489918E-3</v>
      </c>
      <c r="Q49" s="8">
        <f t="shared" si="12"/>
        <v>5.1192074757772602E-3</v>
      </c>
      <c r="R49" s="8">
        <f t="shared" si="12"/>
        <v>9.7940235312643734E-3</v>
      </c>
      <c r="S49" s="8">
        <f t="shared" si="12"/>
        <v>1.4809547564709256E-2</v>
      </c>
      <c r="T49" s="8">
        <f t="shared" si="12"/>
        <v>3.3077396344303074E-2</v>
      </c>
      <c r="U49" s="8">
        <f t="shared" si="12"/>
        <v>7.387897193600719E-2</v>
      </c>
      <c r="V49" s="8">
        <f t="shared" si="12"/>
        <v>0.14134461106150292</v>
      </c>
      <c r="W49" s="8">
        <f t="shared" si="13"/>
        <v>0.21372725252789124</v>
      </c>
      <c r="X49" s="8">
        <f t="shared" si="13"/>
        <v>0.47736374190731923</v>
      </c>
      <c r="Y49" s="8">
        <f t="shared" si="13"/>
        <v>1.066200680505258</v>
      </c>
      <c r="Z49" s="8">
        <f t="shared" si="13"/>
        <v>2.0398459338343451</v>
      </c>
      <c r="AA49" s="8">
        <f t="shared" si="13"/>
        <v>3.0844519910907842</v>
      </c>
      <c r="AB49" s="8">
        <f t="shared" si="13"/>
        <v>6.8891801433157474</v>
      </c>
      <c r="AC49" s="8">
        <f t="shared" si="13"/>
        <v>15.387110314617592</v>
      </c>
      <c r="AD49" s="8">
        <f t="shared" si="13"/>
        <v>29.438486565079959</v>
      </c>
      <c r="AE49" s="8">
        <f t="shared" si="13"/>
        <v>44.513949310710082</v>
      </c>
      <c r="AF49" s="8">
        <f t="shared" si="13"/>
        <v>76.760203925392503</v>
      </c>
    </row>
    <row r="50" spans="1:32">
      <c r="A50" s="60" t="s">
        <v>84</v>
      </c>
      <c r="B50" s="61">
        <v>1.0852090000000001</v>
      </c>
      <c r="C50" s="62">
        <v>23.694054000000001</v>
      </c>
      <c r="E50" s="100" t="s">
        <v>55</v>
      </c>
      <c r="F50" s="91">
        <f t="shared" si="14"/>
        <v>1.0550889999999999</v>
      </c>
      <c r="G50" s="87">
        <f t="shared" si="15"/>
        <v>22.360707999999999</v>
      </c>
      <c r="H50" s="100" t="s">
        <v>55</v>
      </c>
      <c r="I50" s="87">
        <f t="shared" si="7"/>
        <v>1.8654001280367667</v>
      </c>
      <c r="J50" s="91"/>
      <c r="K50" s="84" t="s">
        <v>102</v>
      </c>
      <c r="L50" s="72" t="s">
        <v>55</v>
      </c>
      <c r="M50" s="8">
        <f t="shared" si="12"/>
        <v>1.6343613826074263E-4</v>
      </c>
      <c r="N50" s="8">
        <f t="shared" si="12"/>
        <v>4.2075203858673785E-4</v>
      </c>
      <c r="O50" s="8">
        <f t="shared" si="12"/>
        <v>6.2647474812415694E-4</v>
      </c>
      <c r="P50" s="8">
        <f t="shared" si="12"/>
        <v>1.3578949424546635E-3</v>
      </c>
      <c r="Q50" s="8">
        <f t="shared" si="12"/>
        <v>2.9432609698396687E-3</v>
      </c>
      <c r="R50" s="8">
        <f t="shared" si="12"/>
        <v>5.4962924208495191E-3</v>
      </c>
      <c r="S50" s="8">
        <f t="shared" si="12"/>
        <v>8.1836523514754022E-3</v>
      </c>
      <c r="T50" s="8">
        <f t="shared" si="12"/>
        <v>1.7738209197018337E-2</v>
      </c>
      <c r="U50" s="8">
        <f t="shared" si="12"/>
        <v>3.8447877793887732E-2</v>
      </c>
      <c r="V50" s="8">
        <f t="shared" si="12"/>
        <v>7.179817946208325E-2</v>
      </c>
      <c r="W50" s="8">
        <f t="shared" si="13"/>
        <v>0.10690321678621893</v>
      </c>
      <c r="X50" s="8">
        <f t="shared" si="13"/>
        <v>0.23171458680625515</v>
      </c>
      <c r="Y50" s="8">
        <f t="shared" si="13"/>
        <v>0.50224540807002915</v>
      </c>
      <c r="Z50" s="8">
        <f t="shared" si="13"/>
        <v>0.93790107573511283</v>
      </c>
      <c r="AA50" s="8">
        <f t="shared" si="13"/>
        <v>1.3964788908928907</v>
      </c>
      <c r="AB50" s="8">
        <f t="shared" si="13"/>
        <v>3.026892350994411</v>
      </c>
      <c r="AC50" s="8">
        <f t="shared" si="13"/>
        <v>6.5608419606331125</v>
      </c>
      <c r="AD50" s="8">
        <f t="shared" si="13"/>
        <v>12.251820790659854</v>
      </c>
      <c r="AE50" s="8">
        <f t="shared" si="13"/>
        <v>18.242232098677423</v>
      </c>
      <c r="AF50" s="8">
        <f t="shared" si="13"/>
        <v>30.82370060379634</v>
      </c>
    </row>
    <row r="51" spans="1:32">
      <c r="A51" s="60" t="s">
        <v>85</v>
      </c>
      <c r="B51" s="61">
        <v>1.0960000000000001</v>
      </c>
      <c r="C51" s="62">
        <v>23.783847999999999</v>
      </c>
      <c r="E51" s="100" t="s">
        <v>57</v>
      </c>
      <c r="F51" s="91">
        <f t="shared" si="14"/>
        <v>1.06647</v>
      </c>
      <c r="G51" s="87">
        <f t="shared" si="15"/>
        <v>22.106591999999999</v>
      </c>
      <c r="H51" s="100" t="s">
        <v>57</v>
      </c>
      <c r="I51" s="87">
        <f t="shared" si="7"/>
        <v>1.2050520565288243</v>
      </c>
      <c r="J51" s="91"/>
      <c r="K51" s="84" t="s">
        <v>102</v>
      </c>
      <c r="L51" s="72" t="s">
        <v>57</v>
      </c>
      <c r="M51" s="8">
        <f t="shared" si="12"/>
        <v>9.2910892758955117E-5</v>
      </c>
      <c r="N51" s="8">
        <f t="shared" si="12"/>
        <v>2.416432452387988E-4</v>
      </c>
      <c r="O51" s="8">
        <f t="shared" si="12"/>
        <v>3.6134062273134363E-4</v>
      </c>
      <c r="P51" s="8">
        <f t="shared" si="12"/>
        <v>7.8977492290242357E-4</v>
      </c>
      <c r="Q51" s="8">
        <f t="shared" si="12"/>
        <v>1.7261951455407843E-3</v>
      </c>
      <c r="R51" s="8">
        <f t="shared" si="12"/>
        <v>3.2453143076721109E-3</v>
      </c>
      <c r="S51" s="8">
        <f t="shared" si="12"/>
        <v>4.8528726376536151E-3</v>
      </c>
      <c r="T51" s="8">
        <f t="shared" si="12"/>
        <v>1.0606826003362877E-2</v>
      </c>
      <c r="U51" s="8">
        <f t="shared" si="12"/>
        <v>2.3183126009260424E-2</v>
      </c>
      <c r="V51" s="8">
        <f t="shared" si="12"/>
        <v>4.3585182549478275E-2</v>
      </c>
      <c r="W51" s="8">
        <f t="shared" si="13"/>
        <v>6.5174993775323861E-2</v>
      </c>
      <c r="X51" s="8">
        <f t="shared" si="13"/>
        <v>0.14245167148655499</v>
      </c>
      <c r="Y51" s="8">
        <f t="shared" si="13"/>
        <v>0.31135374986405029</v>
      </c>
      <c r="Z51" s="8">
        <f t="shared" si="13"/>
        <v>0.58535721282232045</v>
      </c>
      <c r="AA51" s="8">
        <f t="shared" si="13"/>
        <v>0.87531244497431504</v>
      </c>
      <c r="AB51" s="8">
        <f t="shared" si="13"/>
        <v>1.9131527850913752</v>
      </c>
      <c r="AC51" s="8">
        <f t="shared" si="13"/>
        <v>4.1815395178235866</v>
      </c>
      <c r="AD51" s="8">
        <f t="shared" si="13"/>
        <v>7.8614576459360448</v>
      </c>
      <c r="AE51" s="8">
        <f t="shared" si="13"/>
        <v>11.755611039536355</v>
      </c>
      <c r="AF51" s="8">
        <f t="shared" si="13"/>
        <v>19.976035802430985</v>
      </c>
    </row>
    <row r="52" spans="1:32">
      <c r="A52" s="60" t="s">
        <v>86</v>
      </c>
      <c r="B52" s="61">
        <v>1.079847</v>
      </c>
      <c r="C52" s="62">
        <v>23.613475999999999</v>
      </c>
      <c r="E52" s="100" t="s">
        <v>51</v>
      </c>
      <c r="F52" s="91">
        <f t="shared" si="14"/>
        <v>1.0566720000000001</v>
      </c>
      <c r="G52" s="87">
        <f t="shared" si="15"/>
        <v>22.340495000000001</v>
      </c>
      <c r="H52" s="100" t="s">
        <v>51</v>
      </c>
      <c r="I52" s="87">
        <f t="shared" si="7"/>
        <v>1.7837256571278521</v>
      </c>
      <c r="J52" s="91"/>
      <c r="K52" s="84" t="s">
        <v>102</v>
      </c>
      <c r="L52" s="72" t="s">
        <v>51</v>
      </c>
      <c r="M52" s="8">
        <f t="shared" ref="M52:V61" si="16">d1_s*EXP(d2_s*($F52*LN(M$10)+$G52))</f>
        <v>1.5352641525644611E-4</v>
      </c>
      <c r="N52" s="8">
        <f t="shared" si="16"/>
        <v>3.9580147307118199E-4</v>
      </c>
      <c r="O52" s="8">
        <f t="shared" si="16"/>
        <v>5.8967691159818054E-4</v>
      </c>
      <c r="P52" s="8">
        <f t="shared" si="16"/>
        <v>1.2796193089340394E-3</v>
      </c>
      <c r="Q52" s="8">
        <f t="shared" si="16"/>
        <v>2.7768181924555657E-3</v>
      </c>
      <c r="R52" s="8">
        <f t="shared" si="16"/>
        <v>5.1903358551121954E-3</v>
      </c>
      <c r="S52" s="8">
        <f t="shared" si="16"/>
        <v>7.7327181060022039E-3</v>
      </c>
      <c r="T52" s="8">
        <f t="shared" si="16"/>
        <v>1.6780265946255916E-2</v>
      </c>
      <c r="U52" s="8">
        <f t="shared" si="16"/>
        <v>3.6413757926661537E-2</v>
      </c>
      <c r="V52" s="8">
        <f t="shared" si="16"/>
        <v>6.8063380562554288E-2</v>
      </c>
      <c r="W52" s="8">
        <f t="shared" ref="W52:AF61" si="17">d1_s*EXP(d2_s*($F52*LN(W$10)+$G52))</f>
        <v>0.10140286677467834</v>
      </c>
      <c r="X52" s="8">
        <f t="shared" si="17"/>
        <v>0.22004773080646703</v>
      </c>
      <c r="Y52" s="8">
        <f t="shared" si="17"/>
        <v>0.47751119246627227</v>
      </c>
      <c r="Z52" s="8">
        <f t="shared" si="17"/>
        <v>0.89254797818915688</v>
      </c>
      <c r="AA52" s="8">
        <f t="shared" si="17"/>
        <v>1.3297447610487503</v>
      </c>
      <c r="AB52" s="8">
        <f t="shared" si="17"/>
        <v>2.8855921585604722</v>
      </c>
      <c r="AC52" s="8">
        <f t="shared" si="17"/>
        <v>6.2618348644431583</v>
      </c>
      <c r="AD52" s="8">
        <f t="shared" si="17"/>
        <v>11.704412663390844</v>
      </c>
      <c r="AE52" s="8">
        <f t="shared" si="17"/>
        <v>17.437585206201874</v>
      </c>
      <c r="AF52" s="8">
        <f t="shared" si="17"/>
        <v>29.487294869002625</v>
      </c>
    </row>
    <row r="53" spans="1:32">
      <c r="A53" s="60" t="s">
        <v>87</v>
      </c>
      <c r="B53" s="61">
        <v>1.07508</v>
      </c>
      <c r="C53" s="62">
        <v>23.454829</v>
      </c>
      <c r="E53" s="100" t="s">
        <v>53</v>
      </c>
      <c r="F53" s="91">
        <f t="shared" si="14"/>
        <v>1.0947370000000001</v>
      </c>
      <c r="G53" s="87">
        <f t="shared" si="15"/>
        <v>23.356804</v>
      </c>
      <c r="H53" s="100" t="s">
        <v>53</v>
      </c>
      <c r="I53" s="87">
        <f t="shared" si="7"/>
        <v>2.9785042299871871</v>
      </c>
      <c r="J53" s="91"/>
      <c r="K53" s="84" t="s">
        <v>102</v>
      </c>
      <c r="L53" s="72" t="s">
        <v>53</v>
      </c>
      <c r="M53" s="8">
        <f t="shared" si="16"/>
        <v>1.6715855908289623E-4</v>
      </c>
      <c r="N53" s="8">
        <f t="shared" si="16"/>
        <v>4.4590173926468041E-4</v>
      </c>
      <c r="O53" s="8">
        <f t="shared" si="16"/>
        <v>6.7392702207082677E-4</v>
      </c>
      <c r="P53" s="8">
        <f t="shared" si="16"/>
        <v>1.5038351470145718E-3</v>
      </c>
      <c r="Q53" s="8">
        <f t="shared" si="16"/>
        <v>3.3557344865727486E-3</v>
      </c>
      <c r="R53" s="8">
        <f t="shared" si="16"/>
        <v>6.4153641411127289E-3</v>
      </c>
      <c r="S53" s="8">
        <f t="shared" si="16"/>
        <v>9.6960537948333602E-3</v>
      </c>
      <c r="T53" s="8">
        <f t="shared" si="16"/>
        <v>2.163626921978801E-2</v>
      </c>
      <c r="U53" s="8">
        <f t="shared" si="16"/>
        <v>4.8280275218831263E-2</v>
      </c>
      <c r="V53" s="8">
        <f t="shared" si="16"/>
        <v>9.2300373465565827E-2</v>
      </c>
      <c r="W53" s="8">
        <f t="shared" si="17"/>
        <v>0.13950094908410021</v>
      </c>
      <c r="X53" s="8">
        <f t="shared" si="17"/>
        <v>0.31128953640994278</v>
      </c>
      <c r="Y53" s="8">
        <f t="shared" si="17"/>
        <v>0.69462735640528472</v>
      </c>
      <c r="Z53" s="8">
        <f t="shared" si="17"/>
        <v>1.327961866932353</v>
      </c>
      <c r="AA53" s="8">
        <f t="shared" si="17"/>
        <v>2.0070551594644206</v>
      </c>
      <c r="AB53" s="8">
        <f t="shared" si="17"/>
        <v>4.4786453012746597</v>
      </c>
      <c r="AC53" s="8">
        <f t="shared" si="17"/>
        <v>9.9938776670104978</v>
      </c>
      <c r="AD53" s="8">
        <f t="shared" si="17"/>
        <v>19.105910992704125</v>
      </c>
      <c r="AE53" s="8">
        <f t="shared" si="17"/>
        <v>28.876293957715202</v>
      </c>
      <c r="AF53" s="8">
        <f t="shared" si="17"/>
        <v>49.763251573924535</v>
      </c>
    </row>
    <row r="54" spans="1:32">
      <c r="A54" s="60" t="s">
        <v>88</v>
      </c>
      <c r="B54" s="61">
        <v>1.0661259999999999</v>
      </c>
      <c r="C54" s="62">
        <v>23.280417</v>
      </c>
      <c r="E54" s="100" t="s">
        <v>47</v>
      </c>
      <c r="F54" s="91">
        <f t="shared" si="14"/>
        <v>1.0894010000000001</v>
      </c>
      <c r="G54" s="87">
        <f t="shared" si="15"/>
        <v>22.973434999999998</v>
      </c>
      <c r="H54" s="100" t="s">
        <v>47</v>
      </c>
      <c r="I54" s="87">
        <f t="shared" si="7"/>
        <v>2.1483761372026726</v>
      </c>
      <c r="J54" s="91"/>
      <c r="K54" s="84" t="s">
        <v>102</v>
      </c>
      <c r="L54" s="72" t="s">
        <v>47</v>
      </c>
      <c r="M54" s="8">
        <f t="shared" si="16"/>
        <v>1.2802156096916519E-4</v>
      </c>
      <c r="N54" s="8">
        <f t="shared" si="16"/>
        <v>3.3987303125301708E-4</v>
      </c>
      <c r="O54" s="8">
        <f t="shared" si="16"/>
        <v>5.1264426146353543E-4</v>
      </c>
      <c r="P54" s="8">
        <f t="shared" si="16"/>
        <v>1.1394738571065322E-3</v>
      </c>
      <c r="Q54" s="8">
        <f t="shared" si="16"/>
        <v>2.5327517903399053E-3</v>
      </c>
      <c r="R54" s="8">
        <f t="shared" si="16"/>
        <v>4.8267474907660798E-3</v>
      </c>
      <c r="S54" s="8">
        <f t="shared" si="16"/>
        <v>7.2803787742508445E-3</v>
      </c>
      <c r="T54" s="8">
        <f t="shared" si="16"/>
        <v>1.6182374224591324E-2</v>
      </c>
      <c r="U54" s="8">
        <f t="shared" si="16"/>
        <v>3.5969177382761126E-2</v>
      </c>
      <c r="V54" s="8">
        <f t="shared" si="16"/>
        <v>6.8547631607384307E-2</v>
      </c>
      <c r="W54" s="8">
        <f t="shared" si="17"/>
        <v>0.1033931696518804</v>
      </c>
      <c r="X54" s="8">
        <f t="shared" si="17"/>
        <v>0.22981592242026735</v>
      </c>
      <c r="Y54" s="8">
        <f t="shared" si="17"/>
        <v>0.51082057330967423</v>
      </c>
      <c r="Z54" s="8">
        <f t="shared" si="17"/>
        <v>0.97348738627217979</v>
      </c>
      <c r="AA54" s="8">
        <f t="shared" si="17"/>
        <v>1.4683504611698694</v>
      </c>
      <c r="AB54" s="8">
        <f t="shared" si="17"/>
        <v>3.2637583005352808</v>
      </c>
      <c r="AC54" s="8">
        <f t="shared" si="17"/>
        <v>7.2544794488818169</v>
      </c>
      <c r="AD54" s="8">
        <f t="shared" si="17"/>
        <v>13.825097512617049</v>
      </c>
      <c r="AE54" s="8">
        <f t="shared" si="17"/>
        <v>20.852954639818929</v>
      </c>
      <c r="AF54" s="8">
        <f t="shared" si="17"/>
        <v>35.841220107847469</v>
      </c>
    </row>
    <row r="55" spans="1:32">
      <c r="A55" s="60" t="s">
        <v>94</v>
      </c>
      <c r="B55" s="61">
        <v>1.1017980000000001</v>
      </c>
      <c r="C55" s="62">
        <v>24.161697</v>
      </c>
      <c r="E55" s="100" t="s">
        <v>49</v>
      </c>
      <c r="F55" s="91">
        <f t="shared" si="14"/>
        <v>1.068449</v>
      </c>
      <c r="G55" s="87">
        <f t="shared" si="15"/>
        <v>22.581719</v>
      </c>
      <c r="H55" s="100" t="s">
        <v>49</v>
      </c>
      <c r="I55" s="87">
        <f t="shared" si="7"/>
        <v>1.9345241062591811</v>
      </c>
      <c r="J55" s="91"/>
      <c r="K55" s="84" t="s">
        <v>102</v>
      </c>
      <c r="L55" s="72" t="s">
        <v>49</v>
      </c>
      <c r="M55" s="8">
        <f t="shared" si="16"/>
        <v>1.4587487793909818E-4</v>
      </c>
      <c r="N55" s="8">
        <f t="shared" si="16"/>
        <v>3.8006583295212889E-4</v>
      </c>
      <c r="O55" s="8">
        <f t="shared" si="16"/>
        <v>5.6875498921323279E-4</v>
      </c>
      <c r="P55" s="8">
        <f t="shared" si="16"/>
        <v>1.2449213811240526E-3</v>
      </c>
      <c r="Q55" s="8">
        <f t="shared" si="16"/>
        <v>2.7249505930905787E-3</v>
      </c>
      <c r="R55" s="8">
        <f t="shared" si="16"/>
        <v>5.1290184925504865E-3</v>
      </c>
      <c r="S55" s="8">
        <f t="shared" si="16"/>
        <v>7.6753935883851583E-3</v>
      </c>
      <c r="T55" s="8">
        <f t="shared" si="16"/>
        <v>1.6800312556275038E-2</v>
      </c>
      <c r="U55" s="8">
        <f t="shared" si="16"/>
        <v>3.6773423895245232E-2</v>
      </c>
      <c r="V55" s="8">
        <f t="shared" si="16"/>
        <v>6.9216510446595533E-2</v>
      </c>
      <c r="W55" s="8">
        <f t="shared" si="17"/>
        <v>0.10358004387463465</v>
      </c>
      <c r="X55" s="8">
        <f t="shared" si="17"/>
        <v>0.22672154745521911</v>
      </c>
      <c r="Y55" s="8">
        <f t="shared" si="17"/>
        <v>0.49626026556527458</v>
      </c>
      <c r="Z55" s="8">
        <f t="shared" si="17"/>
        <v>0.93408228598943621</v>
      </c>
      <c r="AA55" s="8">
        <f t="shared" si="17"/>
        <v>1.3978208889908523</v>
      </c>
      <c r="AB55" s="8">
        <f t="shared" si="17"/>
        <v>3.0596252247277209</v>
      </c>
      <c r="AC55" s="8">
        <f t="shared" si="17"/>
        <v>6.6970715558188934</v>
      </c>
      <c r="AD55" s="8">
        <f t="shared" si="17"/>
        <v>12.60551436889385</v>
      </c>
      <c r="AE55" s="8">
        <f t="shared" si="17"/>
        <v>18.863703514781569</v>
      </c>
      <c r="AF55" s="8">
        <f t="shared" si="17"/>
        <v>32.086204875746482</v>
      </c>
    </row>
    <row r="56" spans="1:32">
      <c r="A56" s="60" t="s">
        <v>89</v>
      </c>
      <c r="B56" s="61">
        <v>1.050297</v>
      </c>
      <c r="C56" s="62">
        <v>23.093264000000001</v>
      </c>
      <c r="E56" s="100" t="s">
        <v>67</v>
      </c>
      <c r="F56" s="91">
        <f t="shared" si="14"/>
        <v>1.10171</v>
      </c>
      <c r="G56" s="87">
        <f t="shared" si="15"/>
        <v>23.825023000000002</v>
      </c>
      <c r="H56" s="100" t="s">
        <v>67</v>
      </c>
      <c r="I56" s="87">
        <f t="shared" si="7"/>
        <v>4.4092880260189586</v>
      </c>
      <c r="J56" s="91"/>
      <c r="K56" s="84" t="s">
        <v>102</v>
      </c>
      <c r="L56" s="72" t="s">
        <v>67</v>
      </c>
      <c r="M56" s="8">
        <f t="shared" si="16"/>
        <v>2.2880396365692601E-4</v>
      </c>
      <c r="N56" s="8">
        <f t="shared" si="16"/>
        <v>6.1416947909544118E-4</v>
      </c>
      <c r="O56" s="8">
        <f t="shared" si="16"/>
        <v>9.3068875651176322E-4</v>
      </c>
      <c r="P56" s="8">
        <f t="shared" si="16"/>
        <v>2.087431236605214E-3</v>
      </c>
      <c r="Q56" s="8">
        <f t="shared" si="16"/>
        <v>4.6818758011934053E-3</v>
      </c>
      <c r="R56" s="8">
        <f t="shared" si="16"/>
        <v>8.9876514286729072E-3</v>
      </c>
      <c r="S56" s="8">
        <f t="shared" si="16"/>
        <v>1.3619540561397539E-2</v>
      </c>
      <c r="T56" s="8">
        <f t="shared" si="16"/>
        <v>3.0547112766923932E-2</v>
      </c>
      <c r="U56" s="8">
        <f t="shared" si="16"/>
        <v>6.8513772119448063E-2</v>
      </c>
      <c r="V56" s="8">
        <f t="shared" si="16"/>
        <v>0.13152375842950895</v>
      </c>
      <c r="W56" s="8">
        <f t="shared" si="17"/>
        <v>0.19930603416633016</v>
      </c>
      <c r="X56" s="8">
        <f t="shared" si="17"/>
        <v>0.44702123932604759</v>
      </c>
      <c r="Y56" s="8">
        <f t="shared" si="17"/>
        <v>1.0026188582018969</v>
      </c>
      <c r="Z56" s="8">
        <f t="shared" si="17"/>
        <v>1.9246962533768546</v>
      </c>
      <c r="AA56" s="8">
        <f t="shared" si="17"/>
        <v>2.9166105182504363</v>
      </c>
      <c r="AB56" s="8">
        <f t="shared" si="17"/>
        <v>6.5416325900681009</v>
      </c>
      <c r="AC56" s="8">
        <f t="shared" si="17"/>
        <v>14.672153403983099</v>
      </c>
      <c r="AD56" s="8">
        <f t="shared" si="17"/>
        <v>28.165676771990359</v>
      </c>
      <c r="AE56" s="8">
        <f t="shared" si="17"/>
        <v>42.681180982558089</v>
      </c>
      <c r="AF56" s="8">
        <f t="shared" si="17"/>
        <v>73.808993063340722</v>
      </c>
    </row>
    <row r="57" spans="1:32">
      <c r="A57" s="60" t="s">
        <v>90</v>
      </c>
      <c r="B57" s="61">
        <v>0.95399299999999998</v>
      </c>
      <c r="C57" s="62">
        <v>20.742134</v>
      </c>
      <c r="E57" s="100" t="s">
        <v>69</v>
      </c>
      <c r="F57" s="91">
        <f t="shared" si="14"/>
        <v>1.0893679999999999</v>
      </c>
      <c r="G57" s="87">
        <f t="shared" si="15"/>
        <v>23.399598000000001</v>
      </c>
      <c r="H57" s="100" t="s">
        <v>69</v>
      </c>
      <c r="I57" s="87">
        <f t="shared" si="7"/>
        <v>3.3736085518993062</v>
      </c>
      <c r="J57" s="91"/>
      <c r="K57" s="84" t="s">
        <v>102</v>
      </c>
      <c r="L57" s="72" t="s">
        <v>69</v>
      </c>
      <c r="M57" s="8">
        <f t="shared" si="16"/>
        <v>2.0110762482880001E-4</v>
      </c>
      <c r="N57" s="8">
        <f t="shared" si="16"/>
        <v>5.3388691723305385E-4</v>
      </c>
      <c r="O57" s="8">
        <f t="shared" si="16"/>
        <v>8.0527323935777634E-4</v>
      </c>
      <c r="P57" s="8">
        <f t="shared" si="16"/>
        <v>1.7898680858909829E-3</v>
      </c>
      <c r="Q57" s="8">
        <f t="shared" si="16"/>
        <v>3.9783114703352629E-3</v>
      </c>
      <c r="R57" s="8">
        <f t="shared" si="16"/>
        <v>7.5814495055828062E-3</v>
      </c>
      <c r="S57" s="8">
        <f t="shared" si="16"/>
        <v>1.1435265044569442E-2</v>
      </c>
      <c r="T57" s="8">
        <f t="shared" si="16"/>
        <v>2.5416982654611793E-2</v>
      </c>
      <c r="U57" s="8">
        <f t="shared" si="16"/>
        <v>5.6493925129582602E-2</v>
      </c>
      <c r="V57" s="8">
        <f t="shared" si="16"/>
        <v>0.10766020808974304</v>
      </c>
      <c r="W57" s="8">
        <f t="shared" si="17"/>
        <v>0.16238623146578177</v>
      </c>
      <c r="X57" s="8">
        <f t="shared" si="17"/>
        <v>0.36093330696113907</v>
      </c>
      <c r="Y57" s="8">
        <f t="shared" si="17"/>
        <v>0.80224074971131198</v>
      </c>
      <c r="Z57" s="8">
        <f t="shared" si="17"/>
        <v>1.5288264331763461</v>
      </c>
      <c r="AA57" s="8">
        <f t="shared" si="17"/>
        <v>2.3059621326557034</v>
      </c>
      <c r="AB57" s="8">
        <f t="shared" si="17"/>
        <v>5.1254255410315581</v>
      </c>
      <c r="AC57" s="8">
        <f t="shared" si="17"/>
        <v>11.392202241588562</v>
      </c>
      <c r="AD57" s="8">
        <f t="shared" si="17"/>
        <v>21.710066367607084</v>
      </c>
      <c r="AE57" s="8">
        <f t="shared" si="17"/>
        <v>32.745764891788376</v>
      </c>
      <c r="AF57" s="8">
        <f t="shared" si="17"/>
        <v>56.281180889900362</v>
      </c>
    </row>
    <row r="58" spans="1:32">
      <c r="A58" s="60" t="s">
        <v>91</v>
      </c>
      <c r="B58" s="61">
        <v>1.0587260000000001</v>
      </c>
      <c r="C58" s="62">
        <v>23.138925</v>
      </c>
      <c r="E58" s="100" t="s">
        <v>63</v>
      </c>
      <c r="F58" s="91">
        <f t="shared" si="14"/>
        <v>1.103289</v>
      </c>
      <c r="G58" s="87">
        <f t="shared" si="15"/>
        <v>23.739830999999999</v>
      </c>
      <c r="H58" s="100" t="s">
        <v>63</v>
      </c>
      <c r="I58" s="87">
        <f t="shared" si="7"/>
        <v>3.9364613647215831</v>
      </c>
      <c r="J58" s="91"/>
      <c r="K58" s="84" t="s">
        <v>102</v>
      </c>
      <c r="L58" s="72" t="s">
        <v>63</v>
      </c>
      <c r="M58" s="8">
        <f t="shared" si="16"/>
        <v>2.0067505540417819E-4</v>
      </c>
      <c r="N58" s="8">
        <f t="shared" si="16"/>
        <v>5.3942700116897224E-4</v>
      </c>
      <c r="O58" s="8">
        <f t="shared" si="16"/>
        <v>8.1791399408193501E-4</v>
      </c>
      <c r="P58" s="8">
        <f t="shared" si="16"/>
        <v>1.8366150400579437E-3</v>
      </c>
      <c r="Q58" s="8">
        <f t="shared" si="16"/>
        <v>4.1240947456257209E-3</v>
      </c>
      <c r="R58" s="8">
        <f t="shared" si="16"/>
        <v>7.924299720843242E-3</v>
      </c>
      <c r="S58" s="8">
        <f t="shared" si="16"/>
        <v>1.2015334087710975E-2</v>
      </c>
      <c r="T58" s="8">
        <f t="shared" si="16"/>
        <v>2.6980273545240654E-2</v>
      </c>
      <c r="U58" s="8">
        <f t="shared" si="16"/>
        <v>6.0583846879507824E-2</v>
      </c>
      <c r="V58" s="8">
        <f t="shared" si="16"/>
        <v>0.11640968273682373</v>
      </c>
      <c r="W58" s="8">
        <f t="shared" si="17"/>
        <v>0.17650786547717037</v>
      </c>
      <c r="X58" s="8">
        <f t="shared" si="17"/>
        <v>0.39634607399983202</v>
      </c>
      <c r="Y58" s="8">
        <f t="shared" si="17"/>
        <v>0.88998985937767028</v>
      </c>
      <c r="Z58" s="8">
        <f t="shared" si="17"/>
        <v>1.7100835041920828</v>
      </c>
      <c r="AA58" s="8">
        <f t="shared" si="17"/>
        <v>2.5929388519601435</v>
      </c>
      <c r="AB58" s="8">
        <f t="shared" si="17"/>
        <v>5.8224098473898209</v>
      </c>
      <c r="AC58" s="8">
        <f t="shared" si="17"/>
        <v>13.074144191774797</v>
      </c>
      <c r="AD58" s="8">
        <f t="shared" si="17"/>
        <v>25.121497821802809</v>
      </c>
      <c r="AE58" s="8">
        <f t="shared" si="17"/>
        <v>38.090834489605186</v>
      </c>
      <c r="AF58" s="8">
        <f t="shared" si="17"/>
        <v>65.922590584078179</v>
      </c>
    </row>
    <row r="59" spans="1:32">
      <c r="A59" s="60" t="s">
        <v>92</v>
      </c>
      <c r="B59" s="61">
        <v>1.056624</v>
      </c>
      <c r="C59" s="62">
        <v>22.998315000000002</v>
      </c>
      <c r="E59" s="100" t="s">
        <v>65</v>
      </c>
      <c r="F59" s="91">
        <f t="shared" si="14"/>
        <v>1.1050979999999999</v>
      </c>
      <c r="G59" s="87">
        <f t="shared" si="15"/>
        <v>23.767949999999999</v>
      </c>
      <c r="H59" s="100" t="s">
        <v>65</v>
      </c>
      <c r="I59" s="87">
        <f t="shared" si="7"/>
        <v>3.9484080838746642</v>
      </c>
      <c r="J59" s="91"/>
      <c r="K59" s="84" t="s">
        <v>102</v>
      </c>
      <c r="L59" s="72" t="s">
        <v>65</v>
      </c>
      <c r="M59" s="8">
        <f t="shared" si="16"/>
        <v>1.9723264104308703E-4</v>
      </c>
      <c r="N59" s="8">
        <f t="shared" si="16"/>
        <v>5.3103385202983881E-4</v>
      </c>
      <c r="O59" s="8">
        <f t="shared" si="16"/>
        <v>8.0573748923482534E-4</v>
      </c>
      <c r="P59" s="8">
        <f t="shared" si="16"/>
        <v>1.8116741695826054E-3</v>
      </c>
      <c r="Q59" s="8">
        <f t="shared" si="16"/>
        <v>4.0734896173811709E-3</v>
      </c>
      <c r="R59" s="8">
        <f t="shared" si="16"/>
        <v>7.8354497321311816E-3</v>
      </c>
      <c r="S59" s="8">
        <f t="shared" si="16"/>
        <v>1.1888725304537349E-2</v>
      </c>
      <c r="T59" s="8">
        <f t="shared" si="16"/>
        <v>2.6731406731425145E-2</v>
      </c>
      <c r="U59" s="8">
        <f t="shared" si="16"/>
        <v>6.0104686376105297E-2</v>
      </c>
      <c r="V59" s="8">
        <f t="shared" si="16"/>
        <v>0.11561272839778367</v>
      </c>
      <c r="W59" s="8">
        <f t="shared" si="17"/>
        <v>0.17541915481799403</v>
      </c>
      <c r="X59" s="8">
        <f t="shared" si="17"/>
        <v>0.39442418390582301</v>
      </c>
      <c r="Y59" s="8">
        <f t="shared" si="17"/>
        <v>0.88684976855113662</v>
      </c>
      <c r="Z59" s="8">
        <f t="shared" si="17"/>
        <v>1.7058756580069614</v>
      </c>
      <c r="AA59" s="8">
        <f t="shared" si="17"/>
        <v>2.5883245754963689</v>
      </c>
      <c r="AB59" s="8">
        <f t="shared" si="17"/>
        <v>5.8197624394711793</v>
      </c>
      <c r="AC59" s="8">
        <f t="shared" si="17"/>
        <v>13.085543896821424</v>
      </c>
      <c r="AD59" s="8">
        <f t="shared" si="17"/>
        <v>25.170340678825017</v>
      </c>
      <c r="AE59" s="8">
        <f t="shared" si="17"/>
        <v>38.19094964326689</v>
      </c>
      <c r="AF59" s="8">
        <f t="shared" si="17"/>
        <v>66.155327155135979</v>
      </c>
    </row>
    <row r="60" spans="1:32">
      <c r="A60" s="63">
        <v>24</v>
      </c>
      <c r="B60" s="64">
        <v>1.052937</v>
      </c>
      <c r="C60" s="65">
        <v>22.577092</v>
      </c>
      <c r="E60" s="100" t="s">
        <v>59</v>
      </c>
      <c r="F60" s="91">
        <f t="shared" si="14"/>
        <v>1.0848279999999999</v>
      </c>
      <c r="G60" s="87">
        <f t="shared" si="15"/>
        <v>23.635577000000001</v>
      </c>
      <c r="H60" s="100" t="s">
        <v>59</v>
      </c>
      <c r="I60" s="87">
        <f t="shared" si="7"/>
        <v>4.6304360334804082</v>
      </c>
      <c r="J60" s="91"/>
      <c r="K60" s="84" t="s">
        <v>102</v>
      </c>
      <c r="L60" s="72" t="s">
        <v>59</v>
      </c>
      <c r="M60" s="8">
        <f t="shared" si="16"/>
        <v>2.9047675657779777E-4</v>
      </c>
      <c r="N60" s="8">
        <f t="shared" si="16"/>
        <v>7.6800668304570388E-4</v>
      </c>
      <c r="O60" s="8">
        <f t="shared" si="16"/>
        <v>1.1564186953296732E-3</v>
      </c>
      <c r="P60" s="8">
        <f t="shared" si="16"/>
        <v>2.5618118476164E-3</v>
      </c>
      <c r="Q60" s="8">
        <f t="shared" si="16"/>
        <v>5.6751762740370176E-3</v>
      </c>
      <c r="R60" s="8">
        <f t="shared" si="16"/>
        <v>1.0786130796884516E-2</v>
      </c>
      <c r="S60" s="8">
        <f t="shared" si="16"/>
        <v>1.62411129735523E-2</v>
      </c>
      <c r="T60" s="8">
        <f t="shared" si="16"/>
        <v>3.5978902625974571E-2</v>
      </c>
      <c r="U60" s="8">
        <f t="shared" si="16"/>
        <v>7.9703985575209441E-2</v>
      </c>
      <c r="V60" s="8">
        <f t="shared" si="16"/>
        <v>0.151483860929603</v>
      </c>
      <c r="W60" s="8">
        <f t="shared" si="17"/>
        <v>0.22809537037490646</v>
      </c>
      <c r="X60" s="8">
        <f t="shared" si="17"/>
        <v>0.50529918322213452</v>
      </c>
      <c r="Y60" s="8">
        <f t="shared" si="17"/>
        <v>1.1193881933916003</v>
      </c>
      <c r="Z60" s="8">
        <f t="shared" si="17"/>
        <v>2.1274876556074718</v>
      </c>
      <c r="AA60" s="8">
        <f t="shared" si="17"/>
        <v>3.2034441279479839</v>
      </c>
      <c r="AB60" s="8">
        <f t="shared" si="17"/>
        <v>7.0965828841212302</v>
      </c>
      <c r="AC60" s="8">
        <f t="shared" si="17"/>
        <v>15.721044794204738</v>
      </c>
      <c r="AD60" s="8">
        <f t="shared" si="17"/>
        <v>29.879115154488588</v>
      </c>
      <c r="AE60" s="8">
        <f t="shared" si="17"/>
        <v>44.990191006583373</v>
      </c>
      <c r="AF60" s="8">
        <f t="shared" si="17"/>
        <v>77.151727812311975</v>
      </c>
    </row>
    <row r="61" spans="1:32">
      <c r="A61" s="63">
        <v>23</v>
      </c>
      <c r="B61" s="64">
        <v>1.074219</v>
      </c>
      <c r="C61" s="65">
        <v>22.391646999999999</v>
      </c>
      <c r="E61" s="100" t="s">
        <v>61</v>
      </c>
      <c r="F61" s="91">
        <f t="shared" si="14"/>
        <v>1.0718259999999999</v>
      </c>
      <c r="G61" s="87">
        <f t="shared" si="15"/>
        <v>23.250011000000001</v>
      </c>
      <c r="H61" s="100" t="s">
        <v>61</v>
      </c>
      <c r="I61" s="87">
        <f t="shared" si="7"/>
        <v>3.7317317043600173</v>
      </c>
      <c r="J61" s="91"/>
      <c r="K61" s="84" t="s">
        <v>102</v>
      </c>
      <c r="L61" s="72" t="s">
        <v>61</v>
      </c>
      <c r="M61" s="8">
        <f t="shared" si="16"/>
        <v>2.7092024661031763E-4</v>
      </c>
      <c r="N61" s="8">
        <f t="shared" si="16"/>
        <v>7.0800159210079991E-4</v>
      </c>
      <c r="O61" s="8">
        <f t="shared" si="16"/>
        <v>1.0608499227295926E-3</v>
      </c>
      <c r="P61" s="8">
        <f t="shared" si="16"/>
        <v>2.3278016067837916E-3</v>
      </c>
      <c r="Q61" s="8">
        <f t="shared" si="16"/>
        <v>5.1078481549990604E-3</v>
      </c>
      <c r="R61" s="8">
        <f t="shared" si="16"/>
        <v>9.6334481887396257E-3</v>
      </c>
      <c r="S61" s="8">
        <f t="shared" si="16"/>
        <v>1.443449122242794E-2</v>
      </c>
      <c r="T61" s="8">
        <f t="shared" si="16"/>
        <v>3.1673313199871905E-2</v>
      </c>
      <c r="U61" s="8">
        <f t="shared" si="16"/>
        <v>6.9500112861507951E-2</v>
      </c>
      <c r="V61" s="8">
        <f t="shared" si="16"/>
        <v>0.13107784649150689</v>
      </c>
      <c r="W61" s="8">
        <f t="shared" si="17"/>
        <v>0.19640340484189053</v>
      </c>
      <c r="X61" s="8">
        <f t="shared" si="17"/>
        <v>0.43096403324648036</v>
      </c>
      <c r="Y61" s="8">
        <f t="shared" si="17"/>
        <v>0.94565569319732334</v>
      </c>
      <c r="Z61" s="8">
        <f t="shared" si="17"/>
        <v>1.7835152589426995</v>
      </c>
      <c r="AA61" s="8">
        <f t="shared" si="17"/>
        <v>2.6723697315740456</v>
      </c>
      <c r="AB61" s="8">
        <f t="shared" si="17"/>
        <v>5.863927047354947</v>
      </c>
      <c r="AC61" s="8">
        <f t="shared" si="17"/>
        <v>12.867096947864066</v>
      </c>
      <c r="AD61" s="8">
        <f t="shared" si="17"/>
        <v>24.267462153397076</v>
      </c>
      <c r="AE61" s="8">
        <f t="shared" si="17"/>
        <v>36.361691325984104</v>
      </c>
      <c r="AF61" s="8">
        <f t="shared" si="17"/>
        <v>61.953322517320935</v>
      </c>
    </row>
    <row r="62" spans="1:32">
      <c r="A62" s="63">
        <v>11</v>
      </c>
      <c r="B62" s="64">
        <v>1.0604290000000001</v>
      </c>
      <c r="C62" s="65">
        <v>22.692207</v>
      </c>
      <c r="E62" s="100" t="s">
        <v>79</v>
      </c>
      <c r="F62" s="91">
        <f t="shared" si="14"/>
        <v>1.0513809999999999</v>
      </c>
      <c r="G62" s="87">
        <f t="shared" si="15"/>
        <v>23.191091</v>
      </c>
      <c r="H62" s="100" t="s">
        <v>79</v>
      </c>
      <c r="I62" s="87">
        <f t="shared" si="7"/>
        <v>4.7427788736897414</v>
      </c>
      <c r="J62" s="91"/>
      <c r="K62" s="84" t="s">
        <v>102</v>
      </c>
      <c r="L62" s="72" t="s">
        <v>79</v>
      </c>
      <c r="M62" s="8">
        <f t="shared" ref="M62:V68" si="18">d1_s*EXP(d2_s*($F62*LN(M$10)+$G62))</f>
        <v>4.3320533521260001E-4</v>
      </c>
      <c r="N62" s="8">
        <f t="shared" si="18"/>
        <v>1.1115490914640372E-3</v>
      </c>
      <c r="O62" s="8">
        <f t="shared" si="18"/>
        <v>1.6527167553608937E-3</v>
      </c>
      <c r="P62" s="8">
        <f t="shared" si="18"/>
        <v>3.5725665299443468E-3</v>
      </c>
      <c r="Q62" s="8">
        <f t="shared" si="18"/>
        <v>7.7225765210395111E-3</v>
      </c>
      <c r="R62" s="8">
        <f t="shared" si="18"/>
        <v>1.438964338865293E-2</v>
      </c>
      <c r="S62" s="8">
        <f t="shared" si="18"/>
        <v>2.1395370582122798E-2</v>
      </c>
      <c r="T62" s="8">
        <f t="shared" si="18"/>
        <v>4.6248932002118277E-2</v>
      </c>
      <c r="U62" s="8">
        <f t="shared" si="18"/>
        <v>9.9973202292827648E-2</v>
      </c>
      <c r="V62" s="8">
        <f t="shared" si="18"/>
        <v>0.18628222400855046</v>
      </c>
      <c r="W62" s="8">
        <f t="shared" ref="W62:AF68" si="19">d1_s*EXP(d2_s*($F62*LN(W$10)+$G62))</f>
        <v>0.27697539875573146</v>
      </c>
      <c r="X62" s="8">
        <f t="shared" si="19"/>
        <v>0.59871907028415461</v>
      </c>
      <c r="Y62" s="8">
        <f t="shared" si="19"/>
        <v>1.2942107015000863</v>
      </c>
      <c r="Z62" s="8">
        <f t="shared" si="19"/>
        <v>2.4115307130498866</v>
      </c>
      <c r="AA62" s="8">
        <f t="shared" si="19"/>
        <v>3.5856061114453261</v>
      </c>
      <c r="AB62" s="8">
        <f t="shared" si="19"/>
        <v>7.7507633063938206</v>
      </c>
      <c r="AC62" s="8">
        <f t="shared" si="19"/>
        <v>16.754303167875207</v>
      </c>
      <c r="AD62" s="8">
        <f t="shared" si="19"/>
        <v>31.218654441853438</v>
      </c>
      <c r="AE62" s="8">
        <f t="shared" si="19"/>
        <v>46.417736897176205</v>
      </c>
      <c r="AF62" s="8">
        <f t="shared" si="19"/>
        <v>78.287091754181276</v>
      </c>
    </row>
    <row r="63" spans="1:32">
      <c r="A63" s="63">
        <v>21</v>
      </c>
      <c r="B63" s="64">
        <v>1.0517319999999999</v>
      </c>
      <c r="C63" s="65">
        <v>22.157015000000001</v>
      </c>
      <c r="E63" s="100" t="s">
        <v>81</v>
      </c>
      <c r="F63" s="91">
        <f t="shared" si="14"/>
        <v>1.103661</v>
      </c>
      <c r="G63" s="87">
        <f t="shared" si="15"/>
        <v>24.389952999999998</v>
      </c>
      <c r="H63" s="100" t="s">
        <v>81</v>
      </c>
      <c r="I63" s="87">
        <f t="shared" si="7"/>
        <v>7.7871093997747263</v>
      </c>
      <c r="J63" s="91"/>
      <c r="K63" s="84" t="s">
        <v>102</v>
      </c>
      <c r="L63" s="72" t="s">
        <v>81</v>
      </c>
      <c r="M63" s="8">
        <f t="shared" si="18"/>
        <v>3.9531908060827368E-4</v>
      </c>
      <c r="N63" s="8">
        <f t="shared" si="18"/>
        <v>1.0629965674109482E-3</v>
      </c>
      <c r="O63" s="8">
        <f t="shared" si="18"/>
        <v>1.6120101502998558E-3</v>
      </c>
      <c r="P63" s="8">
        <f t="shared" si="18"/>
        <v>3.6207348516797328E-3</v>
      </c>
      <c r="Q63" s="8">
        <f t="shared" si="18"/>
        <v>8.1325299742869318E-3</v>
      </c>
      <c r="R63" s="8">
        <f t="shared" si="18"/>
        <v>1.56298052046276E-2</v>
      </c>
      <c r="S63" s="8">
        <f t="shared" si="18"/>
        <v>2.37022445880853E-2</v>
      </c>
      <c r="T63" s="8">
        <f t="shared" si="18"/>
        <v>5.3237594705687299E-2</v>
      </c>
      <c r="U63" s="8">
        <f t="shared" si="18"/>
        <v>0.11957692359109982</v>
      </c>
      <c r="V63" s="8">
        <f t="shared" si="18"/>
        <v>0.22981335803332326</v>
      </c>
      <c r="W63" s="8">
        <f t="shared" si="19"/>
        <v>0.34850673763370094</v>
      </c>
      <c r="X63" s="8">
        <f t="shared" si="19"/>
        <v>0.78278073544439519</v>
      </c>
      <c r="Y63" s="8">
        <f t="shared" si="19"/>
        <v>1.7582032529508624</v>
      </c>
      <c r="Z63" s="8">
        <f t="shared" si="19"/>
        <v>3.3790683146143916</v>
      </c>
      <c r="AA63" s="8">
        <f t="shared" si="19"/>
        <v>5.1242803492602755</v>
      </c>
      <c r="AB63" s="8">
        <f t="shared" si="19"/>
        <v>11.509642446663904</v>
      </c>
      <c r="AC63" s="8">
        <f t="shared" si="19"/>
        <v>25.851799710601529</v>
      </c>
      <c r="AD63" s="8">
        <f t="shared" si="19"/>
        <v>49.684242780940977</v>
      </c>
      <c r="AE63" s="8">
        <f t="shared" si="19"/>
        <v>75.345025683301643</v>
      </c>
      <c r="AF63" s="8">
        <f t="shared" si="19"/>
        <v>130.42134753098247</v>
      </c>
    </row>
    <row r="64" spans="1:32">
      <c r="A64" s="63">
        <v>52</v>
      </c>
      <c r="B64" s="64">
        <v>1.112884</v>
      </c>
      <c r="C64" s="65">
        <v>23.845997000000001</v>
      </c>
      <c r="E64" s="100" t="s">
        <v>75</v>
      </c>
      <c r="F64" s="91">
        <f t="shared" si="14"/>
        <v>1.1112930000000001</v>
      </c>
      <c r="G64" s="87">
        <f t="shared" si="15"/>
        <v>24.403921</v>
      </c>
      <c r="H64" s="100" t="s">
        <v>75</v>
      </c>
      <c r="I64" s="87">
        <f t="shared" si="7"/>
        <v>7.0607333190162507</v>
      </c>
      <c r="J64" s="91"/>
      <c r="K64" s="84" t="s">
        <v>102</v>
      </c>
      <c r="L64" s="72" t="s">
        <v>75</v>
      </c>
      <c r="M64" s="8">
        <f t="shared" si="18"/>
        <v>3.289755595449173E-4</v>
      </c>
      <c r="N64" s="8">
        <f t="shared" si="18"/>
        <v>8.9067316023946767E-4</v>
      </c>
      <c r="O64" s="8">
        <f t="shared" si="18"/>
        <v>1.3545803953832767E-3</v>
      </c>
      <c r="P64" s="8">
        <f t="shared" si="18"/>
        <v>3.0595948833228187E-3</v>
      </c>
      <c r="Q64" s="8">
        <f t="shared" si="18"/>
        <v>6.9107163236379861E-3</v>
      </c>
      <c r="R64" s="8">
        <f t="shared" si="18"/>
        <v>1.3341755716031281E-2</v>
      </c>
      <c r="S64" s="8">
        <f t="shared" si="18"/>
        <v>2.0290810972758873E-2</v>
      </c>
      <c r="T64" s="8">
        <f t="shared" si="18"/>
        <v>4.5830916822886425E-2</v>
      </c>
      <c r="U64" s="8">
        <f t="shared" si="18"/>
        <v>0.10351843204523924</v>
      </c>
      <c r="V64" s="8">
        <f t="shared" si="18"/>
        <v>0.19985158813856635</v>
      </c>
      <c r="W64" s="8">
        <f t="shared" si="19"/>
        <v>0.30394431466412569</v>
      </c>
      <c r="X64" s="8">
        <f t="shared" si="19"/>
        <v>0.68651995343420913</v>
      </c>
      <c r="Y64" s="8">
        <f t="shared" si="19"/>
        <v>1.5506447191951271</v>
      </c>
      <c r="Z64" s="8">
        <f t="shared" si="19"/>
        <v>2.9936582659443491</v>
      </c>
      <c r="AA64" s="8">
        <f t="shared" si="19"/>
        <v>4.552905575862459</v>
      </c>
      <c r="AB64" s="8">
        <f t="shared" si="19"/>
        <v>10.283661753586223</v>
      </c>
      <c r="AC64" s="8">
        <f t="shared" si="19"/>
        <v>23.227738265171272</v>
      </c>
      <c r="AD64" s="8">
        <f t="shared" si="19"/>
        <v>44.843225399055207</v>
      </c>
      <c r="AE64" s="8">
        <f t="shared" si="19"/>
        <v>68.199825371387746</v>
      </c>
      <c r="AF64" s="8">
        <f t="shared" si="19"/>
        <v>118.50187005319137</v>
      </c>
    </row>
    <row r="65" spans="1:32">
      <c r="A65" s="63">
        <v>51</v>
      </c>
      <c r="B65" s="64">
        <v>1.126007</v>
      </c>
      <c r="C65" s="65">
        <v>23.985405</v>
      </c>
      <c r="E65" s="100" t="s">
        <v>77</v>
      </c>
      <c r="F65" s="91">
        <f t="shared" si="14"/>
        <v>1.080141</v>
      </c>
      <c r="G65" s="87">
        <f t="shared" si="15"/>
        <v>23.756021</v>
      </c>
      <c r="H65" s="100" t="s">
        <v>77</v>
      </c>
      <c r="I65" s="87">
        <f t="shared" si="7"/>
        <v>5.6366209666570137</v>
      </c>
      <c r="J65" s="91"/>
      <c r="K65" s="84" t="s">
        <v>102</v>
      </c>
      <c r="L65" s="72" t="s">
        <v>77</v>
      </c>
      <c r="M65" s="8">
        <f t="shared" si="18"/>
        <v>3.7271730568273434E-4</v>
      </c>
      <c r="N65" s="8">
        <f t="shared" si="18"/>
        <v>9.8131587265764967E-4</v>
      </c>
      <c r="O65" s="8">
        <f t="shared" si="18"/>
        <v>1.4749963955951394E-3</v>
      </c>
      <c r="P65" s="8">
        <f t="shared" si="18"/>
        <v>3.2563467559079472E-3</v>
      </c>
      <c r="Q65" s="8">
        <f t="shared" si="18"/>
        <v>7.1890305809417347E-3</v>
      </c>
      <c r="R65" s="8">
        <f t="shared" si="18"/>
        <v>1.3625477452941159E-2</v>
      </c>
      <c r="S65" s="8">
        <f t="shared" si="18"/>
        <v>2.0480184506668553E-2</v>
      </c>
      <c r="T65" s="8">
        <f t="shared" si="18"/>
        <v>4.5214064643037746E-2</v>
      </c>
      <c r="U65" s="8">
        <f t="shared" si="18"/>
        <v>9.981900509144162E-2</v>
      </c>
      <c r="V65" s="8">
        <f t="shared" si="18"/>
        <v>0.18918845704371612</v>
      </c>
      <c r="W65" s="8">
        <f t="shared" si="19"/>
        <v>0.28436541179339481</v>
      </c>
      <c r="X65" s="8">
        <f t="shared" si="19"/>
        <v>0.62779298237690107</v>
      </c>
      <c r="Y65" s="8">
        <f t="shared" si="19"/>
        <v>1.385977381131128</v>
      </c>
      <c r="Z65" s="8">
        <f t="shared" si="19"/>
        <v>2.6268637119102283</v>
      </c>
      <c r="AA65" s="8">
        <f t="shared" si="19"/>
        <v>3.9483866660526075</v>
      </c>
      <c r="AB65" s="8">
        <f t="shared" si="19"/>
        <v>8.7168457831267538</v>
      </c>
      <c r="AC65" s="8">
        <f t="shared" si="19"/>
        <v>19.244163967046045</v>
      </c>
      <c r="AD65" s="8">
        <f t="shared" si="19"/>
        <v>36.473752515230103</v>
      </c>
      <c r="AE65" s="8">
        <f t="shared" si="19"/>
        <v>54.82297290075735</v>
      </c>
      <c r="AF65" s="8">
        <f t="shared" si="19"/>
        <v>93.794726330792386</v>
      </c>
    </row>
    <row r="66" spans="1:32">
      <c r="A66" s="63">
        <v>26</v>
      </c>
      <c r="B66" s="64">
        <v>1.043974</v>
      </c>
      <c r="C66" s="65">
        <v>22.727813000000001</v>
      </c>
      <c r="E66" s="100" t="s">
        <v>71</v>
      </c>
      <c r="F66" s="91">
        <f t="shared" si="14"/>
        <v>1.102112</v>
      </c>
      <c r="G66" s="87">
        <f t="shared" si="15"/>
        <v>24.285617999999999</v>
      </c>
      <c r="H66" s="100" t="s">
        <v>71</v>
      </c>
      <c r="I66" s="87">
        <f t="shared" si="7"/>
        <v>7.1347790732015897</v>
      </c>
      <c r="J66" s="91"/>
      <c r="K66" s="84" t="s">
        <v>102</v>
      </c>
      <c r="L66" s="72" t="s">
        <v>71</v>
      </c>
      <c r="M66" s="8">
        <f t="shared" si="18"/>
        <v>3.6856434128334332E-4</v>
      </c>
      <c r="N66" s="8">
        <f t="shared" si="18"/>
        <v>9.896792719276805E-4</v>
      </c>
      <c r="O66" s="8">
        <f t="shared" si="18"/>
        <v>1.4999492985518382E-3</v>
      </c>
      <c r="P66" s="8">
        <f t="shared" si="18"/>
        <v>3.3652109642660463E-3</v>
      </c>
      <c r="Q66" s="8">
        <f t="shared" si="18"/>
        <v>7.5500184205893788E-3</v>
      </c>
      <c r="R66" s="8">
        <f t="shared" si="18"/>
        <v>1.4496984977151125E-2</v>
      </c>
      <c r="S66" s="8">
        <f t="shared" si="18"/>
        <v>2.1971504369532081E-2</v>
      </c>
      <c r="T66" s="8">
        <f t="shared" si="18"/>
        <v>4.9294164460862044E-2</v>
      </c>
      <c r="U66" s="8">
        <f t="shared" si="18"/>
        <v>0.11059391332639389</v>
      </c>
      <c r="V66" s="8">
        <f t="shared" si="18"/>
        <v>0.21235422362478526</v>
      </c>
      <c r="W66" s="8">
        <f t="shared" si="19"/>
        <v>0.32184221475115543</v>
      </c>
      <c r="X66" s="8">
        <f t="shared" si="19"/>
        <v>0.72206903986017168</v>
      </c>
      <c r="Y66" s="8">
        <f t="shared" si="19"/>
        <v>1.6199978574212703</v>
      </c>
      <c r="Z66" s="8">
        <f t="shared" si="19"/>
        <v>3.1105996427780802</v>
      </c>
      <c r="AA66" s="8">
        <f t="shared" si="19"/>
        <v>4.7143977696660366</v>
      </c>
      <c r="AB66" s="8">
        <f t="shared" si="19"/>
        <v>10.576986221940155</v>
      </c>
      <c r="AC66" s="8">
        <f t="shared" si="19"/>
        <v>23.7299954320649</v>
      </c>
      <c r="AD66" s="8">
        <f t="shared" si="19"/>
        <v>45.564575888764004</v>
      </c>
      <c r="AE66" s="8">
        <f t="shared" si="19"/>
        <v>69.057274999852069</v>
      </c>
      <c r="AF66" s="8">
        <f t="shared" si="19"/>
        <v>119.44530578838111</v>
      </c>
    </row>
    <row r="67" spans="1:32">
      <c r="A67" s="63">
        <v>25</v>
      </c>
      <c r="B67" s="64">
        <v>1.0564009999999999</v>
      </c>
      <c r="C67" s="65">
        <v>22.805972000000001</v>
      </c>
      <c r="E67" s="100" t="s">
        <v>73</v>
      </c>
      <c r="F67" s="91">
        <f t="shared" si="14"/>
        <v>1.1105119999999999</v>
      </c>
      <c r="G67" s="87">
        <f t="shared" si="15"/>
        <v>24.296315</v>
      </c>
      <c r="H67" s="100" t="s">
        <v>73</v>
      </c>
      <c r="I67" s="87">
        <f t="shared" si="7"/>
        <v>6.3741976063745449</v>
      </c>
      <c r="J67" s="91"/>
      <c r="K67" s="84" t="s">
        <v>102</v>
      </c>
      <c r="L67" s="72" t="s">
        <v>73</v>
      </c>
      <c r="M67" s="8">
        <f t="shared" si="18"/>
        <v>2.9960718810426667E-4</v>
      </c>
      <c r="N67" s="8">
        <f t="shared" si="18"/>
        <v>8.1059321983681625E-4</v>
      </c>
      <c r="O67" s="8">
        <f t="shared" si="18"/>
        <v>1.232427611223566E-3</v>
      </c>
      <c r="P67" s="8">
        <f t="shared" si="18"/>
        <v>2.7820944693626726E-3</v>
      </c>
      <c r="Q67" s="8">
        <f t="shared" si="18"/>
        <v>6.2803280013939353E-3</v>
      </c>
      <c r="R67" s="8">
        <f t="shared" si="18"/>
        <v>1.211913061237448E-2</v>
      </c>
      <c r="S67" s="8">
        <f t="shared" si="18"/>
        <v>1.8425951297399136E-2</v>
      </c>
      <c r="T67" s="8">
        <f t="shared" si="18"/>
        <v>4.1594927548195673E-2</v>
      </c>
      <c r="U67" s="8">
        <f t="shared" si="18"/>
        <v>9.3896807270073865E-2</v>
      </c>
      <c r="V67" s="8">
        <f t="shared" si="18"/>
        <v>0.18119239490969458</v>
      </c>
      <c r="W67" s="8">
        <f t="shared" si="19"/>
        <v>0.27548529270376415</v>
      </c>
      <c r="X67" s="8">
        <f t="shared" si="19"/>
        <v>0.62188326701069851</v>
      </c>
      <c r="Y67" s="8">
        <f t="shared" si="19"/>
        <v>1.4038455337932239</v>
      </c>
      <c r="Z67" s="8">
        <f t="shared" si="19"/>
        <v>2.7089966288166156</v>
      </c>
      <c r="AA67" s="8">
        <f t="shared" si="19"/>
        <v>4.1187640882775582</v>
      </c>
      <c r="AB67" s="8">
        <f t="shared" si="19"/>
        <v>9.2977394260342709</v>
      </c>
      <c r="AC67" s="8">
        <f t="shared" si="19"/>
        <v>20.988810376508944</v>
      </c>
      <c r="AD67" s="8">
        <f t="shared" si="19"/>
        <v>40.502046118421916</v>
      </c>
      <c r="AE67" s="8">
        <f t="shared" si="19"/>
        <v>61.579394850406203</v>
      </c>
      <c r="AF67" s="8">
        <f t="shared" si="19"/>
        <v>106.95688113695203</v>
      </c>
    </row>
    <row r="68" spans="1:32" ht="15.75" thickBot="1">
      <c r="A68" s="63">
        <v>71</v>
      </c>
      <c r="B68" s="64">
        <v>1.1370229999999999</v>
      </c>
      <c r="C68" s="65">
        <v>24.852544000000002</v>
      </c>
      <c r="E68" s="97" t="s">
        <v>90</v>
      </c>
      <c r="F68" s="114">
        <f t="shared" si="14"/>
        <v>0.95399299999999998</v>
      </c>
      <c r="G68" s="88">
        <f t="shared" si="15"/>
        <v>20.742134</v>
      </c>
      <c r="H68" s="97" t="s">
        <v>90</v>
      </c>
      <c r="I68" s="88">
        <f t="shared" si="7"/>
        <v>1.5011866937571576</v>
      </c>
      <c r="J68" s="91"/>
      <c r="K68" s="84" t="s">
        <v>102</v>
      </c>
      <c r="L68" s="72" t="s">
        <v>90</v>
      </c>
      <c r="M68" s="8">
        <f t="shared" si="18"/>
        <v>4.0892617005838978E-4</v>
      </c>
      <c r="N68" s="8">
        <f t="shared" si="18"/>
        <v>9.6155224379805158E-4</v>
      </c>
      <c r="O68" s="8">
        <f t="shared" si="18"/>
        <v>1.3781152885398685E-3</v>
      </c>
      <c r="P68" s="8">
        <f t="shared" si="18"/>
        <v>2.773684449785728E-3</v>
      </c>
      <c r="Q68" s="8">
        <f t="shared" si="18"/>
        <v>5.5824976988205367E-3</v>
      </c>
      <c r="R68" s="8">
        <f t="shared" si="18"/>
        <v>9.8192873477116627E-3</v>
      </c>
      <c r="S68" s="8">
        <f t="shared" si="18"/>
        <v>1.4073192698294663E-2</v>
      </c>
      <c r="T68" s="8">
        <f t="shared" si="18"/>
        <v>2.8324622816902085E-2</v>
      </c>
      <c r="U68" s="8">
        <f t="shared" si="18"/>
        <v>5.7007977856865011E-2</v>
      </c>
      <c r="V68" s="8">
        <f t="shared" si="18"/>
        <v>0.10027370289947635</v>
      </c>
      <c r="W68" s="8">
        <f t="shared" si="19"/>
        <v>0.14371421198960441</v>
      </c>
      <c r="X68" s="8">
        <f t="shared" si="19"/>
        <v>0.28924856891408512</v>
      </c>
      <c r="Y68" s="8">
        <f t="shared" si="19"/>
        <v>0.58216047988975173</v>
      </c>
      <c r="Z68" s="8">
        <f t="shared" si="19"/>
        <v>1.0239862769181196</v>
      </c>
      <c r="AA68" s="8">
        <f t="shared" si="19"/>
        <v>1.4675969533406426</v>
      </c>
      <c r="AB68" s="8">
        <f t="shared" si="19"/>
        <v>2.9537810674365108</v>
      </c>
      <c r="AC68" s="8">
        <f t="shared" si="19"/>
        <v>5.9449718633486954</v>
      </c>
      <c r="AD68" s="8">
        <f t="shared" si="19"/>
        <v>10.456858228999399</v>
      </c>
      <c r="AE68" s="8">
        <f t="shared" si="19"/>
        <v>14.986971626790341</v>
      </c>
      <c r="AF68" s="8">
        <f t="shared" si="19"/>
        <v>24.082014054034559</v>
      </c>
    </row>
    <row r="69" spans="1:32">
      <c r="A69" s="63">
        <v>72</v>
      </c>
      <c r="B69" s="64">
        <v>1.1180570000000001</v>
      </c>
      <c r="C69" s="65">
        <v>24.430558999999999</v>
      </c>
    </row>
    <row r="70" spans="1:32">
      <c r="A70" s="63">
        <v>62</v>
      </c>
      <c r="B70" s="64">
        <v>1.085402</v>
      </c>
      <c r="C70" s="65">
        <v>23.865600000000001</v>
      </c>
    </row>
    <row r="71" spans="1:32" ht="15.75" thickBot="1">
      <c r="A71" s="66">
        <v>61</v>
      </c>
      <c r="B71" s="67">
        <v>1.090309</v>
      </c>
      <c r="C71" s="68">
        <v>24.170072999999999</v>
      </c>
    </row>
    <row r="72" spans="1:32" ht="15.75" thickBot="1">
      <c r="A72" s="69" t="s">
        <v>93</v>
      </c>
      <c r="B72" s="70">
        <f>MEDIAN(B11:B71)</f>
        <v>1.072279</v>
      </c>
      <c r="C72" s="71">
        <f>MEDIAN(C11:C71)</f>
        <v>23.265214</v>
      </c>
    </row>
    <row r="73" spans="1:32">
      <c r="A73" s="73" t="s">
        <v>95</v>
      </c>
      <c r="B73" s="74">
        <v>1.079</v>
      </c>
      <c r="C73" s="74">
        <v>23.344000000000001</v>
      </c>
    </row>
  </sheetData>
  <dataValidations count="1">
    <dataValidation type="list" allowBlank="1" showInputMessage="1" showErrorMessage="1" promptTitle="Select a BLM to Compare" sqref="H8">
      <formula1>$E$12:$E$68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Q44" sqref="Q44"/>
    </sheetView>
  </sheetViews>
  <sheetFormatPr defaultRowHeight="15"/>
  <sheetData/>
  <pageMargins left="0.7" right="0.7" top="0.75" bottom="0.75" header="0.3" footer="0.3"/>
  <pageSetup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F67"/>
  <sheetViews>
    <sheetView workbookViewId="0">
      <selection activeCell="P36" sqref="P36"/>
    </sheetView>
  </sheetViews>
  <sheetFormatPr defaultRowHeight="15"/>
  <cols>
    <col min="2" max="2" width="2" customWidth="1"/>
    <col min="3" max="3" width="9.140625" style="137"/>
    <col min="4" max="4" width="10.140625" customWidth="1"/>
    <col min="5" max="5" width="13" style="8" customWidth="1"/>
    <col min="6" max="6" width="11.85546875" style="117" customWidth="1"/>
  </cols>
  <sheetData>
    <row r="1" spans="2:6">
      <c r="B1" s="123"/>
      <c r="C1" s="131"/>
      <c r="D1" s="118"/>
      <c r="E1" s="119"/>
      <c r="F1" s="124" t="s">
        <v>137</v>
      </c>
    </row>
    <row r="2" spans="2:6">
      <c r="B2" s="125"/>
      <c r="C2" s="132"/>
      <c r="D2" s="116" t="s">
        <v>4</v>
      </c>
      <c r="E2" s="120" t="s">
        <v>125</v>
      </c>
      <c r="F2" s="126" t="s">
        <v>138</v>
      </c>
    </row>
    <row r="3" spans="2:6" ht="15.75" thickBot="1">
      <c r="B3" s="127" t="s">
        <v>105</v>
      </c>
      <c r="C3" s="133"/>
      <c r="D3" s="128" t="s">
        <v>120</v>
      </c>
      <c r="E3" s="121" t="s">
        <v>0</v>
      </c>
      <c r="F3" s="129" t="s">
        <v>120</v>
      </c>
    </row>
    <row r="4" spans="2:6">
      <c r="B4" s="24" t="s">
        <v>109</v>
      </c>
      <c r="C4" s="134" t="s">
        <v>111</v>
      </c>
      <c r="D4" s="24">
        <v>25</v>
      </c>
      <c r="E4" s="26">
        <v>4.0265572777679992</v>
      </c>
      <c r="F4" s="130">
        <f>D4/E4</f>
        <v>6.2087779399124798</v>
      </c>
    </row>
    <row r="5" spans="2:6">
      <c r="B5" s="24" t="s">
        <v>110</v>
      </c>
      <c r="C5" s="134" t="s">
        <v>111</v>
      </c>
      <c r="D5" s="24">
        <v>340</v>
      </c>
      <c r="E5" s="26">
        <v>3.5795498988979508</v>
      </c>
      <c r="F5" s="130">
        <f t="shared" ref="F5:F61" si="0">D5/E5</f>
        <v>94.984009052276946</v>
      </c>
    </row>
    <row r="6" spans="2:6">
      <c r="B6" s="24" t="s">
        <v>109</v>
      </c>
      <c r="C6" s="134" t="s">
        <v>112</v>
      </c>
      <c r="D6" s="24">
        <v>28</v>
      </c>
      <c r="E6" s="26">
        <v>4.868799785884967</v>
      </c>
      <c r="F6" s="130">
        <f t="shared" si="0"/>
        <v>5.7509039663479689</v>
      </c>
    </row>
    <row r="7" spans="2:6">
      <c r="B7" s="24" t="s">
        <v>110</v>
      </c>
      <c r="C7" s="134" t="s">
        <v>112</v>
      </c>
      <c r="D7" s="24">
        <v>1300</v>
      </c>
      <c r="E7" s="26">
        <v>4.4169650148198745</v>
      </c>
      <c r="F7" s="130">
        <f t="shared" si="0"/>
        <v>294.31974118839935</v>
      </c>
    </row>
    <row r="8" spans="2:6">
      <c r="B8" s="24" t="s">
        <v>109</v>
      </c>
      <c r="C8" s="134" t="s">
        <v>113</v>
      </c>
      <c r="D8" s="24">
        <v>150</v>
      </c>
      <c r="E8" s="26">
        <v>4.1922780189723481</v>
      </c>
      <c r="F8" s="130">
        <f t="shared" si="0"/>
        <v>35.78006976664431</v>
      </c>
    </row>
    <row r="9" spans="2:6">
      <c r="B9" s="24" t="s">
        <v>110</v>
      </c>
      <c r="C9" s="134" t="s">
        <v>113</v>
      </c>
      <c r="D9" s="24">
        <v>163</v>
      </c>
      <c r="E9" s="26">
        <v>6.2873396987393386</v>
      </c>
      <c r="F9" s="130">
        <f t="shared" si="0"/>
        <v>25.925114247076994</v>
      </c>
    </row>
    <row r="10" spans="2:6">
      <c r="B10" s="24" t="s">
        <v>109</v>
      </c>
      <c r="C10" s="134" t="s">
        <v>114</v>
      </c>
      <c r="D10" s="24">
        <v>50</v>
      </c>
      <c r="E10" s="26">
        <v>5.5440464798144511</v>
      </c>
      <c r="F10" s="130">
        <f t="shared" si="0"/>
        <v>9.0186834078767326</v>
      </c>
    </row>
    <row r="11" spans="2:6">
      <c r="B11" s="24" t="s">
        <v>110</v>
      </c>
      <c r="C11" s="134" t="s">
        <v>114</v>
      </c>
      <c r="D11" s="24">
        <v>100</v>
      </c>
      <c r="E11" s="26">
        <v>5.363447239933782</v>
      </c>
      <c r="F11" s="130">
        <f t="shared" si="0"/>
        <v>18.644725216171722</v>
      </c>
    </row>
    <row r="12" spans="2:6">
      <c r="B12" s="24" t="s">
        <v>109</v>
      </c>
      <c r="C12" s="134" t="s">
        <v>115</v>
      </c>
      <c r="D12" s="24">
        <v>50</v>
      </c>
      <c r="E12" s="26">
        <v>4.8982540534892198</v>
      </c>
      <c r="F12" s="130">
        <f t="shared" si="0"/>
        <v>10.207718802250167</v>
      </c>
    </row>
    <row r="13" spans="2:6">
      <c r="B13" s="24" t="s">
        <v>110</v>
      </c>
      <c r="C13" s="134" t="s">
        <v>115</v>
      </c>
      <c r="D13" s="24">
        <v>300</v>
      </c>
      <c r="E13" s="26">
        <v>4.5927722377844553</v>
      </c>
      <c r="F13" s="130">
        <f t="shared" si="0"/>
        <v>65.320025567982327</v>
      </c>
    </row>
    <row r="14" spans="2:6">
      <c r="B14" s="24" t="s">
        <v>109</v>
      </c>
      <c r="C14" s="134" t="s">
        <v>116</v>
      </c>
      <c r="D14" s="24">
        <v>600</v>
      </c>
      <c r="E14" s="26">
        <v>0.78534555445397825</v>
      </c>
      <c r="F14" s="130">
        <f t="shared" si="0"/>
        <v>763.99490211306772</v>
      </c>
    </row>
    <row r="15" spans="2:6">
      <c r="B15" s="24" t="s">
        <v>110</v>
      </c>
      <c r="C15" s="134" t="s">
        <v>116</v>
      </c>
      <c r="D15" s="24">
        <v>1800</v>
      </c>
      <c r="E15" s="26">
        <v>1.8654001280367667</v>
      </c>
      <c r="F15" s="130">
        <f t="shared" si="0"/>
        <v>964.9404291048287</v>
      </c>
    </row>
    <row r="16" spans="2:6">
      <c r="B16" s="24" t="s">
        <v>109</v>
      </c>
      <c r="C16" s="134" t="s">
        <v>117</v>
      </c>
      <c r="D16" s="24">
        <v>280</v>
      </c>
      <c r="E16" s="26">
        <v>1.4233325698660781</v>
      </c>
      <c r="F16" s="130">
        <f t="shared" si="0"/>
        <v>196.72141699556929</v>
      </c>
    </row>
    <row r="17" spans="2:6">
      <c r="B17" s="24" t="s">
        <v>110</v>
      </c>
      <c r="C17" s="134" t="s">
        <v>117</v>
      </c>
      <c r="D17" s="24">
        <v>200</v>
      </c>
      <c r="E17" s="26">
        <v>1.2050520565288243</v>
      </c>
      <c r="F17" s="130">
        <f t="shared" si="0"/>
        <v>165.96793384686123</v>
      </c>
    </row>
    <row r="18" spans="2:6">
      <c r="B18" s="24" t="s">
        <v>109</v>
      </c>
      <c r="C18" s="134" t="s">
        <v>118</v>
      </c>
      <c r="D18" s="24">
        <v>100</v>
      </c>
      <c r="E18" s="26">
        <v>1.6219816581740296</v>
      </c>
      <c r="F18" s="130">
        <f t="shared" si="0"/>
        <v>61.652978315782256</v>
      </c>
    </row>
    <row r="19" spans="2:6">
      <c r="B19" s="24" t="s">
        <v>110</v>
      </c>
      <c r="C19" s="134" t="s">
        <v>118</v>
      </c>
      <c r="D19" s="24">
        <v>120</v>
      </c>
      <c r="E19" s="26">
        <v>1.7837256571278521</v>
      </c>
      <c r="F19" s="130">
        <f t="shared" si="0"/>
        <v>67.27491950372206</v>
      </c>
    </row>
    <row r="20" spans="2:6">
      <c r="B20" s="24" t="s">
        <v>109</v>
      </c>
      <c r="C20" s="134" t="s">
        <v>119</v>
      </c>
      <c r="D20" s="24">
        <v>40</v>
      </c>
      <c r="E20" s="26">
        <v>2.4017573255264959</v>
      </c>
      <c r="F20" s="130">
        <f t="shared" si="0"/>
        <v>16.654471946382628</v>
      </c>
    </row>
    <row r="21" spans="2:6">
      <c r="B21" s="24" t="s">
        <v>110</v>
      </c>
      <c r="C21" s="134" t="s">
        <v>119</v>
      </c>
      <c r="D21" s="24">
        <v>100</v>
      </c>
      <c r="E21" s="26">
        <v>2.9785042299871871</v>
      </c>
      <c r="F21" s="130">
        <f t="shared" si="0"/>
        <v>33.573898936658615</v>
      </c>
    </row>
    <row r="22" spans="2:6">
      <c r="B22" s="24" t="s">
        <v>109</v>
      </c>
      <c r="C22" s="134">
        <v>10</v>
      </c>
      <c r="D22" s="24">
        <v>100</v>
      </c>
      <c r="E22" s="26">
        <v>2.5553459226322017</v>
      </c>
      <c r="F22" s="130">
        <f t="shared" si="0"/>
        <v>39.133644926238539</v>
      </c>
    </row>
    <row r="23" spans="2:6">
      <c r="B23" s="24" t="s">
        <v>110</v>
      </c>
      <c r="C23" s="134">
        <v>10</v>
      </c>
      <c r="D23" s="24">
        <v>100</v>
      </c>
      <c r="E23" s="26">
        <v>2.1483761372026726</v>
      </c>
      <c r="F23" s="130">
        <f t="shared" si="0"/>
        <v>46.546783995751596</v>
      </c>
    </row>
    <row r="24" spans="2:6">
      <c r="B24" s="24" t="s">
        <v>109</v>
      </c>
      <c r="C24" s="134">
        <v>11</v>
      </c>
      <c r="D24" s="24">
        <v>28</v>
      </c>
      <c r="E24" s="26">
        <v>2.199139777415116</v>
      </c>
      <c r="F24" s="130">
        <f t="shared" si="0"/>
        <v>12.73225116818695</v>
      </c>
    </row>
    <row r="25" spans="2:6">
      <c r="B25" s="24" t="s">
        <v>110</v>
      </c>
      <c r="C25" s="134">
        <v>11</v>
      </c>
      <c r="D25" s="24">
        <v>85</v>
      </c>
      <c r="E25" s="26">
        <v>1.9345241062591811</v>
      </c>
      <c r="F25" s="130">
        <f t="shared" si="0"/>
        <v>43.938454798770017</v>
      </c>
    </row>
    <row r="26" spans="2:6">
      <c r="B26" s="24" t="s">
        <v>109</v>
      </c>
      <c r="C26" s="134">
        <v>12</v>
      </c>
      <c r="D26" s="24">
        <v>26</v>
      </c>
      <c r="E26" s="26">
        <v>3.2007698798101711</v>
      </c>
      <c r="F26" s="130">
        <f t="shared" si="0"/>
        <v>8.1230456972251908</v>
      </c>
    </row>
    <row r="27" spans="2:6">
      <c r="B27" s="24" t="s">
        <v>110</v>
      </c>
      <c r="C27" s="134">
        <v>12</v>
      </c>
      <c r="D27" s="24">
        <v>100</v>
      </c>
      <c r="E27" s="26">
        <v>4.4092880260189586</v>
      </c>
      <c r="F27" s="130">
        <f t="shared" si="0"/>
        <v>22.679398444806885</v>
      </c>
    </row>
    <row r="28" spans="2:6">
      <c r="B28" s="24" t="s">
        <v>109</v>
      </c>
      <c r="C28" s="134">
        <v>13</v>
      </c>
      <c r="D28" s="24">
        <v>500</v>
      </c>
      <c r="E28" s="26">
        <v>3.2084740793735449</v>
      </c>
      <c r="F28" s="130">
        <f t="shared" si="0"/>
        <v>155.83731943305119</v>
      </c>
    </row>
    <row r="29" spans="2:6">
      <c r="B29" s="24" t="s">
        <v>110</v>
      </c>
      <c r="C29" s="134">
        <v>13</v>
      </c>
      <c r="D29" s="24">
        <v>500</v>
      </c>
      <c r="E29" s="26">
        <v>3.3736085518993062</v>
      </c>
      <c r="F29" s="130">
        <f t="shared" si="0"/>
        <v>148.20925199472396</v>
      </c>
    </row>
    <row r="30" spans="2:6">
      <c r="B30" s="24" t="s">
        <v>109</v>
      </c>
      <c r="C30" s="134">
        <v>14</v>
      </c>
      <c r="D30" s="24">
        <v>55</v>
      </c>
      <c r="E30" s="26">
        <v>4.1180085080922826</v>
      </c>
      <c r="F30" s="130">
        <f t="shared" si="0"/>
        <v>13.355970462887512</v>
      </c>
    </row>
    <row r="31" spans="2:6">
      <c r="B31" s="24" t="s">
        <v>110</v>
      </c>
      <c r="C31" s="134">
        <v>14</v>
      </c>
      <c r="D31" s="24">
        <v>118</v>
      </c>
      <c r="E31" s="26">
        <v>3.9364613647215831</v>
      </c>
      <c r="F31" s="130">
        <f t="shared" si="0"/>
        <v>29.976161091662554</v>
      </c>
    </row>
    <row r="32" spans="2:6">
      <c r="B32" s="24" t="s">
        <v>109</v>
      </c>
      <c r="C32" s="134">
        <v>15</v>
      </c>
      <c r="D32" s="24">
        <v>40</v>
      </c>
      <c r="E32" s="26">
        <v>4.0926763685720724</v>
      </c>
      <c r="F32" s="130">
        <f t="shared" si="0"/>
        <v>9.7735555899710516</v>
      </c>
    </row>
    <row r="33" spans="2:6">
      <c r="B33" s="24" t="s">
        <v>110</v>
      </c>
      <c r="C33" s="134">
        <v>15</v>
      </c>
      <c r="D33" s="24">
        <v>190</v>
      </c>
      <c r="E33" s="26">
        <v>3.9484080838746642</v>
      </c>
      <c r="F33" s="130">
        <f t="shared" si="0"/>
        <v>48.120659254032475</v>
      </c>
    </row>
    <row r="34" spans="2:6">
      <c r="B34" s="24" t="s">
        <v>109</v>
      </c>
      <c r="C34" s="134">
        <v>16</v>
      </c>
      <c r="D34" s="24">
        <v>50</v>
      </c>
      <c r="E34" s="26">
        <v>2.8822383653215806</v>
      </c>
      <c r="F34" s="130">
        <f t="shared" si="0"/>
        <v>17.347628357733466</v>
      </c>
    </row>
    <row r="35" spans="2:6">
      <c r="B35" s="24" t="s">
        <v>110</v>
      </c>
      <c r="C35" s="134">
        <v>16</v>
      </c>
      <c r="D35" s="24">
        <v>120</v>
      </c>
      <c r="E35" s="26">
        <v>4.6304360334804082</v>
      </c>
      <c r="F35" s="130">
        <f t="shared" si="0"/>
        <v>25.915485956903183</v>
      </c>
    </row>
    <row r="36" spans="2:6">
      <c r="B36" s="24" t="s">
        <v>109</v>
      </c>
      <c r="C36" s="134">
        <v>17</v>
      </c>
      <c r="D36" s="24">
        <v>25</v>
      </c>
      <c r="E36" s="26">
        <v>3.4881432516028186</v>
      </c>
      <c r="F36" s="130">
        <f t="shared" si="0"/>
        <v>7.1671368394954476</v>
      </c>
    </row>
    <row r="37" spans="2:6">
      <c r="B37" s="24" t="s">
        <v>110</v>
      </c>
      <c r="C37" s="134">
        <v>17</v>
      </c>
      <c r="D37" s="24">
        <v>120</v>
      </c>
      <c r="E37" s="26">
        <v>3.7317317043600173</v>
      </c>
      <c r="F37" s="130">
        <f t="shared" si="0"/>
        <v>32.156652596379431</v>
      </c>
    </row>
    <row r="38" spans="2:6">
      <c r="B38" s="24" t="s">
        <v>109</v>
      </c>
      <c r="C38" s="134">
        <v>18</v>
      </c>
      <c r="D38" s="24">
        <v>42</v>
      </c>
      <c r="E38" s="26">
        <v>4.9189199383062183</v>
      </c>
      <c r="F38" s="130">
        <f t="shared" si="0"/>
        <v>8.5384597689675523</v>
      </c>
    </row>
    <row r="39" spans="2:6">
      <c r="B39" s="24" t="s">
        <v>110</v>
      </c>
      <c r="C39" s="135">
        <v>18</v>
      </c>
      <c r="D39" s="24">
        <v>288</v>
      </c>
      <c r="E39" s="26">
        <v>4.7427788736897414</v>
      </c>
      <c r="F39" s="130">
        <f t="shared" si="0"/>
        <v>60.723893664463539</v>
      </c>
    </row>
    <row r="40" spans="2:6">
      <c r="B40" s="24" t="s">
        <v>109</v>
      </c>
      <c r="C40" s="135">
        <v>19</v>
      </c>
      <c r="D40" s="24">
        <v>95</v>
      </c>
      <c r="E40" s="26">
        <v>4.9692419464819855</v>
      </c>
      <c r="F40" s="130">
        <f t="shared" si="0"/>
        <v>19.117604057748892</v>
      </c>
    </row>
    <row r="41" spans="2:6">
      <c r="B41" s="24" t="s">
        <v>110</v>
      </c>
      <c r="C41" s="135">
        <v>19</v>
      </c>
      <c r="D41" s="24">
        <v>300</v>
      </c>
      <c r="E41" s="26">
        <v>7.7871093997747263</v>
      </c>
      <c r="F41" s="130">
        <f t="shared" si="0"/>
        <v>38.52520679992999</v>
      </c>
    </row>
    <row r="42" spans="2:6">
      <c r="B42" s="24" t="s">
        <v>109</v>
      </c>
      <c r="C42" s="135">
        <v>20</v>
      </c>
      <c r="D42" s="24">
        <v>75</v>
      </c>
      <c r="E42" s="26">
        <v>4.6929938271832645</v>
      </c>
      <c r="F42" s="130">
        <f t="shared" si="0"/>
        <v>15.981269688780948</v>
      </c>
    </row>
    <row r="43" spans="2:6">
      <c r="B43" s="24" t="s">
        <v>110</v>
      </c>
      <c r="C43" s="135">
        <v>20</v>
      </c>
      <c r="D43" s="24">
        <v>100</v>
      </c>
      <c r="E43" s="26">
        <v>7.0607333190162507</v>
      </c>
      <c r="F43" s="130">
        <f t="shared" si="0"/>
        <v>14.162834861738226</v>
      </c>
    </row>
    <row r="44" spans="2:6">
      <c r="B44" s="24" t="s">
        <v>109</v>
      </c>
      <c r="C44" s="135">
        <v>21</v>
      </c>
      <c r="D44" s="24">
        <v>50</v>
      </c>
      <c r="E44" s="26">
        <v>4.7910321902927233</v>
      </c>
      <c r="F44" s="130">
        <f t="shared" si="0"/>
        <v>10.436164486915104</v>
      </c>
    </row>
    <row r="45" spans="2:6">
      <c r="B45" s="24" t="s">
        <v>110</v>
      </c>
      <c r="C45" s="135">
        <v>21</v>
      </c>
      <c r="D45" s="24">
        <v>225</v>
      </c>
      <c r="E45" s="26">
        <v>5.6366209666570137</v>
      </c>
      <c r="F45" s="130">
        <f t="shared" si="0"/>
        <v>39.917532388814102</v>
      </c>
    </row>
    <row r="46" spans="2:6">
      <c r="B46" s="24" t="s">
        <v>109</v>
      </c>
      <c r="C46" s="135">
        <v>22</v>
      </c>
      <c r="D46" s="24">
        <v>43</v>
      </c>
      <c r="E46" s="26">
        <v>6.9645208412878068</v>
      </c>
      <c r="F46" s="130">
        <f t="shared" si="0"/>
        <v>6.1741505237636547</v>
      </c>
    </row>
    <row r="47" spans="2:6">
      <c r="B47" s="24" t="s">
        <v>110</v>
      </c>
      <c r="C47" s="135">
        <v>22</v>
      </c>
      <c r="D47" s="24">
        <v>225</v>
      </c>
      <c r="E47" s="26">
        <v>7.1347790732015897</v>
      </c>
      <c r="F47" s="130">
        <f t="shared" si="0"/>
        <v>31.535664621362375</v>
      </c>
    </row>
    <row r="48" spans="2:6">
      <c r="B48" s="24" t="s">
        <v>109</v>
      </c>
      <c r="C48" s="135">
        <v>23</v>
      </c>
      <c r="D48" s="24">
        <v>50</v>
      </c>
      <c r="E48" s="26">
        <v>5.0848510377629994</v>
      </c>
      <c r="F48" s="130">
        <f t="shared" si="0"/>
        <v>9.8331297472967307</v>
      </c>
    </row>
    <row r="49" spans="2:6">
      <c r="B49" s="24" t="s">
        <v>110</v>
      </c>
      <c r="C49" s="135">
        <v>23</v>
      </c>
      <c r="D49" s="24">
        <v>135</v>
      </c>
      <c r="E49" s="26">
        <v>6.3741976063745449</v>
      </c>
      <c r="F49" s="130">
        <f t="shared" si="0"/>
        <v>21.179136314348437</v>
      </c>
    </row>
    <row r="50" spans="2:6">
      <c r="B50" s="24" t="s">
        <v>109</v>
      </c>
      <c r="C50" s="135">
        <v>24</v>
      </c>
      <c r="D50" s="24">
        <v>38</v>
      </c>
      <c r="E50" s="26">
        <v>4.3455961261854616</v>
      </c>
      <c r="F50" s="130">
        <f t="shared" si="0"/>
        <v>8.7444849674413199</v>
      </c>
    </row>
    <row r="51" spans="2:6">
      <c r="B51" s="24" t="s">
        <v>110</v>
      </c>
      <c r="C51" s="135">
        <v>24</v>
      </c>
      <c r="D51" s="24">
        <v>225</v>
      </c>
      <c r="E51" s="26">
        <v>1.5011866937571576</v>
      </c>
      <c r="F51" s="130">
        <f t="shared" si="0"/>
        <v>149.88142443287441</v>
      </c>
    </row>
    <row r="53" spans="2:6">
      <c r="C53" s="136" t="s">
        <v>121</v>
      </c>
      <c r="D53">
        <v>500</v>
      </c>
      <c r="E53" s="8">
        <v>7.5162827374553558</v>
      </c>
      <c r="F53" s="117">
        <f t="shared" si="0"/>
        <v>66.522244767135447</v>
      </c>
    </row>
    <row r="54" spans="2:6">
      <c r="C54" s="136" t="s">
        <v>122</v>
      </c>
      <c r="D54">
        <v>1600</v>
      </c>
      <c r="E54" s="8">
        <v>5.8561049169686257</v>
      </c>
      <c r="F54" s="117">
        <f t="shared" si="0"/>
        <v>273.21914868086577</v>
      </c>
    </row>
    <row r="55" spans="2:6">
      <c r="C55" s="136" t="s">
        <v>123</v>
      </c>
      <c r="D55">
        <v>280</v>
      </c>
      <c r="E55" s="8">
        <v>7.7619573023598081</v>
      </c>
      <c r="F55" s="117">
        <f t="shared" si="0"/>
        <v>36.073375450657757</v>
      </c>
    </row>
    <row r="56" spans="2:6">
      <c r="C56" s="136" t="s">
        <v>124</v>
      </c>
      <c r="D56">
        <v>280</v>
      </c>
      <c r="E56" s="8">
        <v>6.5722499376863697</v>
      </c>
      <c r="F56" s="117">
        <f t="shared" si="0"/>
        <v>42.6033706348314</v>
      </c>
    </row>
    <row r="57" spans="2:6">
      <c r="C57" s="136" t="s">
        <v>126</v>
      </c>
      <c r="D57">
        <v>85</v>
      </c>
      <c r="E57" s="8">
        <v>2.9302187289490194</v>
      </c>
      <c r="F57" s="117">
        <f t="shared" si="0"/>
        <v>29.008073411122769</v>
      </c>
    </row>
    <row r="58" spans="2:6">
      <c r="C58" s="136" t="s">
        <v>127</v>
      </c>
      <c r="D58">
        <v>525</v>
      </c>
      <c r="E58" s="8">
        <v>3.2415104325714301</v>
      </c>
      <c r="F58" s="117">
        <f t="shared" si="0"/>
        <v>161.96153334096391</v>
      </c>
    </row>
    <row r="59" spans="2:6">
      <c r="C59" s="136" t="s">
        <v>128</v>
      </c>
      <c r="D59">
        <v>50</v>
      </c>
      <c r="E59" s="8">
        <v>2.4209487289866023</v>
      </c>
      <c r="F59" s="117">
        <f t="shared" si="0"/>
        <v>20.653060265728868</v>
      </c>
    </row>
    <row r="60" spans="2:6">
      <c r="C60" s="136" t="s">
        <v>129</v>
      </c>
      <c r="D60">
        <v>100</v>
      </c>
      <c r="E60" s="8">
        <v>1.4529089887612952</v>
      </c>
      <c r="F60" s="117">
        <f t="shared" si="0"/>
        <v>68.827435698678471</v>
      </c>
    </row>
    <row r="61" spans="2:6">
      <c r="C61" s="136" t="s">
        <v>130</v>
      </c>
      <c r="D61">
        <v>55</v>
      </c>
      <c r="E61" s="8">
        <v>1.5803081670982388</v>
      </c>
      <c r="F61" s="117">
        <f t="shared" si="0"/>
        <v>34.803338453278371</v>
      </c>
    </row>
    <row r="62" spans="2:6">
      <c r="C62" s="136" t="s">
        <v>131</v>
      </c>
      <c r="D62">
        <v>325</v>
      </c>
    </row>
    <row r="63" spans="2:6">
      <c r="C63" s="136" t="s">
        <v>132</v>
      </c>
      <c r="D63">
        <v>180</v>
      </c>
    </row>
    <row r="64" spans="2:6">
      <c r="C64" s="136" t="s">
        <v>133</v>
      </c>
      <c r="D64">
        <v>30</v>
      </c>
    </row>
    <row r="65" spans="3:4">
      <c r="C65" s="136" t="s">
        <v>134</v>
      </c>
      <c r="D65">
        <v>1500</v>
      </c>
    </row>
    <row r="66" spans="3:4">
      <c r="C66" s="136" t="s">
        <v>135</v>
      </c>
      <c r="D66">
        <v>30</v>
      </c>
    </row>
    <row r="67" spans="3:4">
      <c r="C67" s="136" t="s">
        <v>136</v>
      </c>
      <c r="D67">
        <v>200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BLM SCALING TO RADS</vt:lpstr>
      <vt:lpstr>COMPARISON</vt:lpstr>
      <vt:lpstr>PLOTS</vt:lpstr>
      <vt:lpstr>BLM ALARMS</vt:lpstr>
      <vt:lpstr>_c1</vt:lpstr>
      <vt:lpstr>_c2</vt:lpstr>
      <vt:lpstr>all_data</vt:lpstr>
      <vt:lpstr>b</vt:lpstr>
      <vt:lpstr>D</vt:lpstr>
      <vt:lpstr>d1_</vt:lpstr>
      <vt:lpstr>d1_s</vt:lpstr>
      <vt:lpstr>d2_</vt:lpstr>
      <vt:lpstr>d2_s</vt:lpstr>
      <vt:lpstr>data</vt:lpstr>
      <vt:lpstr>G1_</vt:lpstr>
      <vt:lpstr>H1_</vt:lpstr>
      <vt:lpstr>m</vt:lpstr>
      <vt:lpstr>m_data</vt:lpstr>
      <vt:lpstr>N</vt:lpstr>
    </vt:vector>
  </TitlesOfParts>
  <Company>Fermi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Drennan</dc:creator>
  <cp:lastModifiedBy>Craig Drennan</cp:lastModifiedBy>
  <cp:lastPrinted>2011-12-16T13:54:01Z</cp:lastPrinted>
  <dcterms:created xsi:type="dcterms:W3CDTF">2011-09-28T18:34:44Z</dcterms:created>
  <dcterms:modified xsi:type="dcterms:W3CDTF">2011-12-16T20:37:59Z</dcterms:modified>
</cp:coreProperties>
</file>